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0170" windowHeight="5685" tabRatio="574" firstSheet="1" activeTab="2"/>
  </bookViews>
  <sheets>
    <sheet name="Chart2" sheetId="7" state="hidden" r:id="rId1"/>
    <sheet name="Present Allocation Method_SO " sheetId="10" r:id="rId2"/>
    <sheet name="load_allocation_23042012" sheetId="11" r:id="rId3"/>
    <sheet name="load_allocation_yedc&amp;jedc" sheetId="9" state="hidden" r:id="rId4"/>
    <sheet name="load_allocation_final" sheetId="5" state="hidden" r:id="rId5"/>
    <sheet name="Sheet1" sheetId="1" state="hidden" r:id="rId6"/>
    <sheet name="Sheet 2" sheetId="4" state="hidden" r:id="rId7"/>
  </sheets>
  <definedNames>
    <definedName name="All_Based_Metering" localSheetId="2">load_allocation_23042012!$J$17:$J$27</definedName>
    <definedName name="All_Based_Metering" localSheetId="4">load_allocation_final!$G$23:$G$33</definedName>
    <definedName name="All_Based_Metering" localSheetId="3">'load_allocation_yedc&amp;jedc'!$G$27:$G$37</definedName>
    <definedName name="All_Based_Metering">'Sheet 2'!$K$10:$K$20</definedName>
    <definedName name="All_Based_NtwkExpsn" localSheetId="2">load_allocation_23042012!$L$17:$L$27</definedName>
    <definedName name="All_Based_NtwkExpsn" localSheetId="4">load_allocation_final!$I$23:$I$33</definedName>
    <definedName name="All_Based_NtwkExpsn" localSheetId="3">'load_allocation_yedc&amp;jedc'!$I$27:$I$37</definedName>
    <definedName name="All_Based_NtwkExpsn">'Sheet 2'!$M$10:$M$20</definedName>
    <definedName name="All_LRF" localSheetId="2">load_allocation_23042012!$F$17:$F$27</definedName>
    <definedName name="All_LRF" localSheetId="4">load_allocation_final!$E$23:$E$33</definedName>
    <definedName name="All_LRF" localSheetId="3">'load_allocation_yedc&amp;jedc'!$E$27:$E$37</definedName>
    <definedName name="All_LRF">'Sheet 2'!$I$10:$I$20</definedName>
    <definedName name="Based_On_NtwkExpsn">load_allocation_23042012!$J$17:$J$27</definedName>
  </definedNames>
  <calcPr calcId="124519"/>
</workbook>
</file>

<file path=xl/calcChain.xml><?xml version="1.0" encoding="utf-8"?>
<calcChain xmlns="http://schemas.openxmlformats.org/spreadsheetml/2006/main">
  <c r="E7" i="11"/>
  <c r="Q26"/>
  <c r="Q17"/>
  <c r="Q20"/>
  <c r="C28"/>
  <c r="E10" l="1"/>
  <c r="E12" s="1"/>
  <c r="D35"/>
  <c r="D14" i="10"/>
  <c r="D15"/>
  <c r="D17"/>
  <c r="D19" s="1"/>
  <c r="D13" i="5"/>
  <c r="D14"/>
  <c r="D16"/>
  <c r="D27" i="11" l="1"/>
  <c r="P19"/>
  <c r="Q19" s="1"/>
  <c r="P22"/>
  <c r="Q22" s="1"/>
  <c r="D23"/>
  <c r="D19"/>
  <c r="D26"/>
  <c r="D22"/>
  <c r="D18"/>
  <c r="D25"/>
  <c r="D21"/>
  <c r="D17"/>
  <c r="D24"/>
  <c r="D20"/>
  <c r="D14" i="9"/>
  <c r="D15"/>
  <c r="D17"/>
  <c r="D18"/>
  <c r="D20"/>
  <c r="D22"/>
  <c r="C27"/>
  <c r="F45"/>
  <c r="C28"/>
  <c r="C29"/>
  <c r="C30"/>
  <c r="C31"/>
  <c r="C32"/>
  <c r="C33"/>
  <c r="C34"/>
  <c r="C35"/>
  <c r="C36"/>
  <c r="C37"/>
  <c r="C38"/>
  <c r="C41"/>
  <c r="N45"/>
  <c r="R45"/>
  <c r="F46"/>
  <c r="N46"/>
  <c r="R46"/>
  <c r="F47"/>
  <c r="N47"/>
  <c r="R47"/>
  <c r="F48"/>
  <c r="N48"/>
  <c r="R48"/>
  <c r="F49"/>
  <c r="N49"/>
  <c r="R49"/>
  <c r="F50"/>
  <c r="N50"/>
  <c r="R50"/>
  <c r="F51"/>
  <c r="N51"/>
  <c r="R51"/>
  <c r="F52"/>
  <c r="N52"/>
  <c r="R52"/>
  <c r="F53"/>
  <c r="N53"/>
  <c r="R53"/>
  <c r="F54"/>
  <c r="N54"/>
  <c r="R54"/>
  <c r="F55"/>
  <c r="N55"/>
  <c r="R55"/>
  <c r="R57"/>
  <c r="P45"/>
  <c r="P57"/>
  <c r="L45"/>
  <c r="L57"/>
  <c r="K45"/>
  <c r="K46"/>
  <c r="K47"/>
  <c r="K48"/>
  <c r="K49"/>
  <c r="K50"/>
  <c r="K51"/>
  <c r="K52"/>
  <c r="K53"/>
  <c r="K54"/>
  <c r="K55"/>
  <c r="K57"/>
  <c r="J57"/>
  <c r="H57"/>
  <c r="F57"/>
  <c r="D57"/>
  <c r="R56"/>
  <c r="P56"/>
  <c r="N56"/>
  <c r="L56"/>
  <c r="K56"/>
  <c r="J56"/>
  <c r="H56"/>
  <c r="F56"/>
  <c r="D56"/>
  <c r="P55"/>
  <c r="O55"/>
  <c r="L55"/>
  <c r="P54"/>
  <c r="O54"/>
  <c r="L54"/>
  <c r="P53"/>
  <c r="O53"/>
  <c r="L53"/>
  <c r="P52"/>
  <c r="O52"/>
  <c r="L52"/>
  <c r="P51"/>
  <c r="O51"/>
  <c r="L51"/>
  <c r="P50"/>
  <c r="O50"/>
  <c r="L50"/>
  <c r="P49"/>
  <c r="O49"/>
  <c r="L49"/>
  <c r="P48"/>
  <c r="O48"/>
  <c r="L48"/>
  <c r="P47"/>
  <c r="O47"/>
  <c r="L47"/>
  <c r="P46"/>
  <c r="O46"/>
  <c r="L46"/>
  <c r="O45"/>
  <c r="D26"/>
  <c r="E27"/>
  <c r="F26"/>
  <c r="G27"/>
  <c r="H26"/>
  <c r="I27"/>
  <c r="L26"/>
  <c r="M27"/>
  <c r="N27"/>
  <c r="E28"/>
  <c r="G28"/>
  <c r="I28"/>
  <c r="M28"/>
  <c r="N28"/>
  <c r="E29"/>
  <c r="G29"/>
  <c r="I29"/>
  <c r="M29"/>
  <c r="N29"/>
  <c r="E30"/>
  <c r="G30"/>
  <c r="I30"/>
  <c r="M30"/>
  <c r="N30"/>
  <c r="E31"/>
  <c r="G31"/>
  <c r="I31"/>
  <c r="M31"/>
  <c r="N31"/>
  <c r="E32"/>
  <c r="G32"/>
  <c r="I32"/>
  <c r="M32"/>
  <c r="N32"/>
  <c r="E33"/>
  <c r="G33"/>
  <c r="I33"/>
  <c r="M33"/>
  <c r="N33"/>
  <c r="E34"/>
  <c r="G34"/>
  <c r="I34"/>
  <c r="M34"/>
  <c r="N34"/>
  <c r="E35"/>
  <c r="G35"/>
  <c r="I35"/>
  <c r="M35"/>
  <c r="N35"/>
  <c r="E36"/>
  <c r="G36"/>
  <c r="I36"/>
  <c r="M36"/>
  <c r="N36"/>
  <c r="E37"/>
  <c r="G37"/>
  <c r="I37"/>
  <c r="M37"/>
  <c r="N37"/>
  <c r="N38"/>
  <c r="N39"/>
  <c r="C39"/>
  <c r="B38"/>
  <c r="K37"/>
  <c r="K36"/>
  <c r="K35"/>
  <c r="K34"/>
  <c r="K33"/>
  <c r="K32"/>
  <c r="K31"/>
  <c r="K30"/>
  <c r="K29"/>
  <c r="K28"/>
  <c r="K27"/>
  <c r="K26"/>
  <c r="J26"/>
  <c r="I26"/>
  <c r="G26"/>
  <c r="E26"/>
  <c r="D18" i="5"/>
  <c r="C28"/>
  <c r="C25"/>
  <c r="F41"/>
  <c r="F42"/>
  <c r="F43"/>
  <c r="F44"/>
  <c r="F45"/>
  <c r="F46"/>
  <c r="F47"/>
  <c r="F48"/>
  <c r="C23"/>
  <c r="C24"/>
  <c r="C26"/>
  <c r="C27"/>
  <c r="C29"/>
  <c r="C30"/>
  <c r="C31"/>
  <c r="C32"/>
  <c r="C33"/>
  <c r="C34"/>
  <c r="C37"/>
  <c r="L22"/>
  <c r="M24"/>
  <c r="F22"/>
  <c r="G24"/>
  <c r="H22"/>
  <c r="I24"/>
  <c r="D22"/>
  <c r="E24"/>
  <c r="N24"/>
  <c r="M25"/>
  <c r="G25"/>
  <c r="I25"/>
  <c r="E25"/>
  <c r="N25"/>
  <c r="M26"/>
  <c r="G26"/>
  <c r="I26"/>
  <c r="E26"/>
  <c r="N26"/>
  <c r="M27"/>
  <c r="G27"/>
  <c r="I27"/>
  <c r="E27"/>
  <c r="N27"/>
  <c r="M28"/>
  <c r="G28"/>
  <c r="I28"/>
  <c r="E28"/>
  <c r="N28"/>
  <c r="M29"/>
  <c r="G29"/>
  <c r="I29"/>
  <c r="E29"/>
  <c r="N29"/>
  <c r="M30"/>
  <c r="G30"/>
  <c r="I30"/>
  <c r="E30"/>
  <c r="N30"/>
  <c r="M31"/>
  <c r="G31"/>
  <c r="I31"/>
  <c r="E31"/>
  <c r="N31"/>
  <c r="M32"/>
  <c r="G32"/>
  <c r="I32"/>
  <c r="E32"/>
  <c r="N32"/>
  <c r="M33"/>
  <c r="G33"/>
  <c r="I33"/>
  <c r="E33"/>
  <c r="N33"/>
  <c r="M23"/>
  <c r="G23"/>
  <c r="I23"/>
  <c r="E23"/>
  <c r="N23"/>
  <c r="N34"/>
  <c r="N35"/>
  <c r="B34"/>
  <c r="C32" i="4"/>
  <c r="F49" i="5"/>
  <c r="F50"/>
  <c r="F51"/>
  <c r="P41"/>
  <c r="P42"/>
  <c r="P43"/>
  <c r="P44"/>
  <c r="P45"/>
  <c r="P46"/>
  <c r="P47"/>
  <c r="P48"/>
  <c r="P49"/>
  <c r="P50"/>
  <c r="P51"/>
  <c r="P53"/>
  <c r="L41"/>
  <c r="L42"/>
  <c r="L43"/>
  <c r="L44"/>
  <c r="L45"/>
  <c r="L46"/>
  <c r="L47"/>
  <c r="L48"/>
  <c r="L49"/>
  <c r="L50"/>
  <c r="L51"/>
  <c r="L53"/>
  <c r="J53"/>
  <c r="H53"/>
  <c r="F53"/>
  <c r="D53"/>
  <c r="P52"/>
  <c r="L52"/>
  <c r="J52"/>
  <c r="H52"/>
  <c r="F52"/>
  <c r="D52"/>
  <c r="J22"/>
  <c r="C26" i="4"/>
  <c r="C27"/>
  <c r="C30"/>
  <c r="C10"/>
  <c r="C11"/>
  <c r="C12"/>
  <c r="C13"/>
  <c r="C14"/>
  <c r="C15"/>
  <c r="C16"/>
  <c r="C17"/>
  <c r="C18"/>
  <c r="C19"/>
  <c r="C20"/>
  <c r="C21"/>
  <c r="C23"/>
  <c r="L21"/>
  <c r="M10"/>
  <c r="M11"/>
  <c r="M12"/>
  <c r="M13"/>
  <c r="M14"/>
  <c r="M15"/>
  <c r="M16"/>
  <c r="M17"/>
  <c r="M18"/>
  <c r="M19"/>
  <c r="M20"/>
  <c r="M21"/>
  <c r="F21"/>
  <c r="I10"/>
  <c r="I11"/>
  <c r="I12"/>
  <c r="I13"/>
  <c r="I14"/>
  <c r="I15"/>
  <c r="I16"/>
  <c r="I17"/>
  <c r="I18"/>
  <c r="I19"/>
  <c r="I20"/>
  <c r="J21"/>
  <c r="I21"/>
  <c r="K10"/>
  <c r="K11"/>
  <c r="K12"/>
  <c r="K13"/>
  <c r="K14"/>
  <c r="K15"/>
  <c r="K16"/>
  <c r="K17"/>
  <c r="K18"/>
  <c r="K19"/>
  <c r="K20"/>
  <c r="K21"/>
  <c r="O20"/>
  <c r="O19"/>
  <c r="O18"/>
  <c r="O17"/>
  <c r="O16"/>
  <c r="O15"/>
  <c r="O14"/>
  <c r="O13"/>
  <c r="O12"/>
  <c r="O11"/>
  <c r="O10"/>
  <c r="G10"/>
  <c r="G11"/>
  <c r="G12"/>
  <c r="G13"/>
  <c r="G14"/>
  <c r="G15"/>
  <c r="G16"/>
  <c r="G17"/>
  <c r="G18"/>
  <c r="G19"/>
  <c r="G20"/>
  <c r="G21"/>
  <c r="J40"/>
  <c r="J36"/>
  <c r="J37"/>
  <c r="J38"/>
  <c r="J39"/>
  <c r="J41"/>
  <c r="J42"/>
  <c r="J43"/>
  <c r="J44"/>
  <c r="J45"/>
  <c r="J46"/>
  <c r="D10"/>
  <c r="D11"/>
  <c r="D12"/>
  <c r="D13"/>
  <c r="D14"/>
  <c r="D15"/>
  <c r="D16"/>
  <c r="D17"/>
  <c r="D18"/>
  <c r="D19"/>
  <c r="D20"/>
  <c r="D21"/>
  <c r="D23"/>
  <c r="U46"/>
  <c r="U45"/>
  <c r="U44"/>
  <c r="U43"/>
  <c r="U42"/>
  <c r="U41"/>
  <c r="U40"/>
  <c r="U39"/>
  <c r="U38"/>
  <c r="U37"/>
  <c r="U36"/>
  <c r="O21"/>
  <c r="D6"/>
  <c r="Q46"/>
  <c r="Q45"/>
  <c r="Q44"/>
  <c r="Q43"/>
  <c r="Q42"/>
  <c r="Q41"/>
  <c r="Q40"/>
  <c r="Q39"/>
  <c r="Q38"/>
  <c r="Q37"/>
  <c r="Q36"/>
  <c r="U48"/>
  <c r="N48"/>
  <c r="N47"/>
  <c r="J48"/>
  <c r="L48"/>
  <c r="F48"/>
  <c r="J47"/>
  <c r="L47"/>
  <c r="F47"/>
  <c r="U47"/>
  <c r="Q48"/>
  <c r="Q47"/>
  <c r="N21"/>
  <c r="B21"/>
  <c r="D22"/>
  <c r="E20"/>
  <c r="E19"/>
  <c r="E18"/>
  <c r="E17"/>
  <c r="E16"/>
  <c r="E15"/>
  <c r="E14"/>
  <c r="E13"/>
  <c r="E12"/>
  <c r="E11"/>
  <c r="E10"/>
  <c r="G9" i="1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H8"/>
  <c r="G8"/>
  <c r="F18"/>
  <c r="F17"/>
  <c r="F16"/>
  <c r="F15"/>
  <c r="F14"/>
  <c r="F13"/>
  <c r="F12"/>
  <c r="F11"/>
  <c r="F10"/>
  <c r="F9"/>
  <c r="F8"/>
  <c r="P20" i="4"/>
  <c r="S20"/>
  <c r="C33"/>
  <c r="P11"/>
  <c r="P12"/>
  <c r="P13"/>
  <c r="P14"/>
  <c r="P15"/>
  <c r="P16"/>
  <c r="P17"/>
  <c r="P18"/>
  <c r="P19"/>
  <c r="P10"/>
  <c r="P21"/>
  <c r="S11"/>
  <c r="S12"/>
  <c r="S13"/>
  <c r="S14"/>
  <c r="S15"/>
  <c r="S16"/>
  <c r="S17"/>
  <c r="S18"/>
  <c r="S19"/>
  <c r="S10"/>
  <c r="S21"/>
  <c r="S22"/>
  <c r="H11"/>
  <c r="H12"/>
  <c r="H13"/>
  <c r="H14"/>
  <c r="H15"/>
  <c r="H16"/>
  <c r="H17"/>
  <c r="H18"/>
  <c r="H19"/>
  <c r="H20"/>
  <c r="H10"/>
  <c r="H21"/>
  <c r="H35"/>
  <c r="S36"/>
  <c r="S37"/>
  <c r="S38"/>
  <c r="S39"/>
  <c r="S40"/>
  <c r="S41"/>
  <c r="S42"/>
  <c r="S43"/>
  <c r="S44"/>
  <c r="S45"/>
  <c r="S46"/>
  <c r="S47"/>
  <c r="T46"/>
  <c r="T45"/>
  <c r="T44"/>
  <c r="T43"/>
  <c r="T42"/>
  <c r="T41"/>
  <c r="T40"/>
  <c r="T39"/>
  <c r="T38"/>
  <c r="T37"/>
  <c r="T36"/>
  <c r="C22"/>
  <c r="W38"/>
  <c r="W37"/>
  <c r="W39"/>
  <c r="W40"/>
  <c r="W41"/>
  <c r="W42"/>
  <c r="W43"/>
  <c r="W44"/>
  <c r="W45"/>
  <c r="W46"/>
  <c r="W36"/>
  <c r="W47"/>
  <c r="W48"/>
  <c r="P46"/>
  <c r="P45"/>
  <c r="P44"/>
  <c r="P43"/>
  <c r="P42"/>
  <c r="P41"/>
  <c r="P40"/>
  <c r="P39"/>
  <c r="P38"/>
  <c r="P37"/>
  <c r="P36"/>
  <c r="P48"/>
  <c r="P47"/>
  <c r="I22" i="5"/>
  <c r="K24"/>
  <c r="K25"/>
  <c r="K26"/>
  <c r="K27"/>
  <c r="K28"/>
  <c r="K29"/>
  <c r="K30"/>
  <c r="K31"/>
  <c r="K32"/>
  <c r="K33"/>
  <c r="K23"/>
  <c r="K22"/>
  <c r="G22"/>
  <c r="N41"/>
  <c r="O41"/>
  <c r="E22"/>
  <c r="N42"/>
  <c r="R42"/>
  <c r="N43"/>
  <c r="R43"/>
  <c r="N44"/>
  <c r="R44"/>
  <c r="N45"/>
  <c r="R45"/>
  <c r="N46"/>
  <c r="R46"/>
  <c r="N47"/>
  <c r="R47"/>
  <c r="N48"/>
  <c r="R48"/>
  <c r="N49"/>
  <c r="R49"/>
  <c r="N50"/>
  <c r="R50"/>
  <c r="N51"/>
  <c r="R51"/>
  <c r="R41"/>
  <c r="R53"/>
  <c r="K42"/>
  <c r="K43"/>
  <c r="K44"/>
  <c r="K45"/>
  <c r="K46"/>
  <c r="K47"/>
  <c r="K48"/>
  <c r="K49"/>
  <c r="K50"/>
  <c r="K51"/>
  <c r="K41"/>
  <c r="K53"/>
  <c r="R52"/>
  <c r="N52"/>
  <c r="K52"/>
  <c r="O51"/>
  <c r="O50"/>
  <c r="O49"/>
  <c r="O48"/>
  <c r="O47"/>
  <c r="O46"/>
  <c r="O45"/>
  <c r="O44"/>
  <c r="O43"/>
  <c r="O42"/>
  <c r="C35"/>
  <c r="Q28" i="11" l="1"/>
  <c r="D28"/>
  <c r="D34" s="1"/>
  <c r="G16" l="1"/>
  <c r="E16"/>
  <c r="F17" s="1"/>
  <c r="I16"/>
  <c r="L26" l="1"/>
  <c r="L19"/>
  <c r="L27"/>
  <c r="L22"/>
  <c r="L17"/>
  <c r="L20"/>
  <c r="L21"/>
  <c r="L25"/>
  <c r="L18"/>
  <c r="L24"/>
  <c r="L23"/>
  <c r="L16" l="1"/>
  <c r="F26"/>
  <c r="F25"/>
  <c r="F24"/>
  <c r="F23"/>
  <c r="F21"/>
  <c r="F20"/>
  <c r="F18"/>
  <c r="F27"/>
  <c r="F22"/>
  <c r="F19"/>
  <c r="J26"/>
  <c r="J25"/>
  <c r="J24"/>
  <c r="J23"/>
  <c r="J21"/>
  <c r="J20"/>
  <c r="J18"/>
  <c r="J27"/>
  <c r="J22"/>
  <c r="J19"/>
  <c r="J17"/>
  <c r="H27"/>
  <c r="H22"/>
  <c r="H19"/>
  <c r="H17"/>
  <c r="M17" s="1"/>
  <c r="H26"/>
  <c r="H25"/>
  <c r="H24"/>
  <c r="H23"/>
  <c r="H21"/>
  <c r="H20"/>
  <c r="H18"/>
  <c r="M26" l="1"/>
  <c r="M19"/>
  <c r="M27"/>
  <c r="M20"/>
  <c r="M23"/>
  <c r="M25"/>
  <c r="M22"/>
  <c r="M18"/>
  <c r="M21"/>
  <c r="M24"/>
  <c r="J16"/>
  <c r="F16"/>
  <c r="H16"/>
  <c r="M28" l="1"/>
  <c r="M29" s="1"/>
  <c r="O26"/>
  <c r="O18"/>
  <c r="O24"/>
  <c r="O21"/>
  <c r="O17"/>
  <c r="O19"/>
  <c r="O23"/>
  <c r="O22"/>
  <c r="O27"/>
  <c r="O25"/>
</calcChain>
</file>

<file path=xl/comments1.xml><?xml version="1.0" encoding="utf-8"?>
<comments xmlns="http://schemas.openxmlformats.org/spreadsheetml/2006/main">
  <authors>
    <author>llawal</author>
  </authors>
  <commentList>
    <comment ref="B23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FCT,
BENUE,
KOGI,
NIGER,
NASARAWA</t>
        </r>
      </text>
    </comment>
    <comment ref="B24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DELTA,
EDO,
EKITI,
ONDO</t>
        </r>
      </text>
    </comment>
    <comment ref="B25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LAGOS SOUTH</t>
        </r>
      </text>
    </comment>
    <comment ref="B26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ABIA,
ANAMBRA,
ENUGU,
EBONYI,
IMO</t>
        </r>
      </text>
    </comment>
    <comment ref="B27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OYO,
OGUN,
OSUN,
KWARA</t>
        </r>
      </text>
    </comment>
    <comment ref="B28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LAGOS NORTH</t>
        </r>
      </text>
    </comment>
    <comment ref="B29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PLATEAU,
BAUCHI,
GOMBE</t>
        </r>
      </text>
    </comment>
    <comment ref="B30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KADUNA,
SOKOTO,
KEBBI,
ZAMFARA</t>
        </r>
      </text>
    </comment>
    <comment ref="B31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KATSINA,
KANO,
JIGAWA</t>
        </r>
      </text>
    </comment>
    <comment ref="B32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BAYELSA,
RIVERS,
C/RIVER,
A/IBOM</t>
        </r>
      </text>
    </comment>
    <comment ref="B33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ADAMAWA.
BORNO,
TARABA,
YOBE</t>
        </r>
      </text>
    </comment>
  </commentList>
</comments>
</file>

<file path=xl/comments2.xml><?xml version="1.0" encoding="utf-8"?>
<comments xmlns="http://schemas.openxmlformats.org/spreadsheetml/2006/main">
  <authors>
    <author>llawal</author>
  </authors>
  <commentList>
    <comment ref="B17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FCT,
BENUE,
KOGI,
NIGER,
NASARAWA</t>
        </r>
      </text>
    </comment>
    <comment ref="B18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DELTA,
EDO,
EKITI,
ONDO</t>
        </r>
      </text>
    </comment>
    <comment ref="B19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LAGOS SOUTH</t>
        </r>
      </text>
    </comment>
    <comment ref="B20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ABIA,
ANAMBRA,
ENUGU,
EBONYI,
IMO</t>
        </r>
      </text>
    </comment>
    <comment ref="B21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OYO,
OGUN,
OSUN,
KWARA</t>
        </r>
      </text>
    </comment>
    <comment ref="B22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LAGOS NORTH</t>
        </r>
      </text>
    </comment>
    <comment ref="B23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PLATEAU,
BAUCHI,
GOMBE</t>
        </r>
      </text>
    </comment>
    <comment ref="B24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KADUNA,
SOKOTO,
KEBBI,
ZAMFARA</t>
        </r>
      </text>
    </comment>
    <comment ref="B25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KATSINA,
KANO,
JIGAWA</t>
        </r>
      </text>
    </comment>
    <comment ref="B26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BAYELSA,
RIVERS,
C/RIVER,
A/IBOM</t>
        </r>
      </text>
    </comment>
    <comment ref="B27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ADAMAWA.
BORNO,
TARABA,
YOBE</t>
        </r>
      </text>
    </comment>
  </commentList>
</comments>
</file>

<file path=xl/comments3.xml><?xml version="1.0" encoding="utf-8"?>
<comments xmlns="http://schemas.openxmlformats.org/spreadsheetml/2006/main">
  <authors>
    <author>whyem</author>
    <author>llawal</author>
  </authors>
  <commentList>
    <comment ref="D26" authorId="0">
      <text>
        <r>
          <rPr>
            <b/>
            <sz val="8"/>
            <color indexed="81"/>
            <rFont val="Tahoma"/>
            <family val="2"/>
          </rPr>
          <t>whyem: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7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FCT,
BENUE,
KOGI,
NIGER,
NASARAWA</t>
        </r>
      </text>
    </comment>
    <comment ref="B28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DELTA,
EDO,
EKITI,
ONDO</t>
        </r>
      </text>
    </comment>
    <comment ref="B29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LAGOS SOUTH</t>
        </r>
      </text>
    </comment>
    <comment ref="B30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ABIA,
ANAMBRA,
ENUGU,
EBONYI,
IMO</t>
        </r>
      </text>
    </comment>
    <comment ref="B31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OYO,
OGUN,
OSUN,
KWARA</t>
        </r>
      </text>
    </comment>
    <comment ref="B32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LAGOS NORTH</t>
        </r>
      </text>
    </comment>
    <comment ref="B33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PLATEAU,
BAUCHI,
GOMBE</t>
        </r>
      </text>
    </comment>
    <comment ref="B34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KADUNA,
SOKOTO,
KEBBI,
ZAMFARA</t>
        </r>
      </text>
    </comment>
    <comment ref="B35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KATSINA,
KANO,
JIGAWA</t>
        </r>
      </text>
    </comment>
    <comment ref="B36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BAYELSA,
RIVERS,
C/RIVER,
A/IBOM</t>
        </r>
      </text>
    </comment>
    <comment ref="B37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ADAMAWA.
BORNO,
TARABA,
YOBE</t>
        </r>
      </text>
    </comment>
  </commentList>
</comments>
</file>

<file path=xl/comments4.xml><?xml version="1.0" encoding="utf-8"?>
<comments xmlns="http://schemas.openxmlformats.org/spreadsheetml/2006/main">
  <authors>
    <author>whyem</author>
    <author>llawal</author>
  </authors>
  <commentList>
    <comment ref="D22" authorId="0">
      <text>
        <r>
          <rPr>
            <b/>
            <sz val="8"/>
            <color indexed="81"/>
            <rFont val="Tahoma"/>
            <family val="2"/>
          </rPr>
          <t>whyem: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3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FCT,
BENUE,
KOGI,
NIGER,
NASARAWA</t>
        </r>
      </text>
    </comment>
    <comment ref="B24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DELTA,
EDO,
EKITI,
ONDO</t>
        </r>
      </text>
    </comment>
    <comment ref="B25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LAGOS SOUTH</t>
        </r>
      </text>
    </comment>
    <comment ref="B26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ABIA,
ANAMBRA,
ENUGU,
EBONYI,
IMO</t>
        </r>
      </text>
    </comment>
    <comment ref="B27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OYO,
OGUN,
OSUN,
KWARA</t>
        </r>
      </text>
    </comment>
    <comment ref="B28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LAGOS NORTH</t>
        </r>
      </text>
    </comment>
    <comment ref="B29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PLATEAU,
BAUCHI,
GOMBE</t>
        </r>
      </text>
    </comment>
    <comment ref="B30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KADUNA,
SOKOTO,
KEBBI,
ZAMFARA</t>
        </r>
      </text>
    </comment>
    <comment ref="B31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KATSINA,
KANO,
JIGAWA</t>
        </r>
      </text>
    </comment>
    <comment ref="B32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BAYELSA,
RIVERS,
C/RIVER,
A/IBOM</t>
        </r>
      </text>
    </comment>
    <comment ref="B33" authorId="1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ADAMAWA.
BORNO,
TARABA,
YOBE</t>
        </r>
      </text>
    </comment>
  </commentList>
</comments>
</file>

<file path=xl/comments5.xml><?xml version="1.0" encoding="utf-8"?>
<comments xmlns="http://schemas.openxmlformats.org/spreadsheetml/2006/main">
  <authors>
    <author>llawal</author>
  </authors>
  <commentList>
    <comment ref="B8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FCT,
BENUE,
KOGI,
NIGER,
NASARAWA</t>
        </r>
      </text>
    </comment>
    <comment ref="B9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DELTA,
EDO,
EKITI,
ONDO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LAGOS SOUTH</t>
        </r>
      </text>
    </comment>
    <comment ref="B11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LAGOS NORTH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ABIA,
ANAMBRA,
ENUGU,
EBONYI,
IMO</t>
        </r>
      </text>
    </comment>
    <comment ref="B13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OYO,
OGUN,
OSUN,
KWARA</t>
        </r>
      </text>
    </comment>
    <comment ref="B14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PLATEAU,
BAUCHI,
GOMBE</t>
        </r>
      </text>
    </comment>
    <comment ref="B15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KADUNA,
SOKOTO,
KEBBI,
ZAMFARA</t>
        </r>
      </text>
    </comment>
    <comment ref="B16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KATSINA,
KANO,
JIGAWA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BAYELSA,
RIVERS,
C/RIVER,
A/IBOM</t>
        </r>
      </text>
    </comment>
    <comment ref="B18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ADAMAWA.
BORNO,
TARABA,
YOBE
</t>
        </r>
      </text>
    </comment>
  </commentList>
</comments>
</file>

<file path=xl/comments6.xml><?xml version="1.0" encoding="utf-8"?>
<comments xmlns="http://schemas.openxmlformats.org/spreadsheetml/2006/main">
  <authors>
    <author>llawal</author>
    <author>whyem</author>
  </authors>
  <commentList>
    <comment ref="B10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FCT,
BENUE,
KOGI,
NIGER,
NASARAWA</t>
        </r>
      </text>
    </comment>
    <comment ref="B11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DELTA,
EDO,
EKITI,
ONDO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LAGOS SOUTH</t>
        </r>
      </text>
    </comment>
    <comment ref="B13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ABIA,
ANAMBRA,
ENUGU,
EBONYI,
IMO</t>
        </r>
      </text>
    </comment>
    <comment ref="B14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OYO,
OGUN,
OSUN,
KWARA</t>
        </r>
      </text>
    </comment>
    <comment ref="B15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LAGOS NORTH</t>
        </r>
      </text>
    </comment>
    <comment ref="B16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PLATEAU,
BAUCHI,
GOMBE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KADUNA,
SOKOTO,
KEBBI,
ZAMFARA</t>
        </r>
      </text>
    </comment>
    <comment ref="B18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KATSINA,
KANO,
JIGAWA</t>
        </r>
      </text>
    </comment>
    <comment ref="B19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BAYELSA,
RIVERS,
C/RIVER,
A/IBOM</t>
        </r>
      </text>
    </comment>
    <comment ref="B20" authorId="0">
      <text>
        <r>
          <rPr>
            <b/>
            <sz val="8"/>
            <color indexed="81"/>
            <rFont val="Tahoma"/>
            <family val="2"/>
          </rPr>
          <t>llawal:</t>
        </r>
        <r>
          <rPr>
            <sz val="8"/>
            <color indexed="81"/>
            <rFont val="Tahoma"/>
            <family val="2"/>
          </rPr>
          <t xml:space="preserve">
ADAMAWA.
BORNO,
TARABA,
YOBE</t>
        </r>
      </text>
    </comment>
    <comment ref="C26" authorId="1">
      <text>
        <r>
          <rPr>
            <b/>
            <sz val="8"/>
            <color indexed="81"/>
            <rFont val="Tahoma"/>
            <family val="2"/>
          </rPr>
          <t>whyem:</t>
        </r>
        <r>
          <rPr>
            <sz val="8"/>
            <color indexed="81"/>
            <rFont val="Tahoma"/>
            <family val="2"/>
          </rPr>
          <t xml:space="preserve">
Are these before or after the 5% DISCOs Allocation?
This an ari</t>
        </r>
      </text>
    </comment>
    <comment ref="C30" authorId="1">
      <text>
        <r>
          <rPr>
            <b/>
            <sz val="8"/>
            <color indexed="81"/>
            <rFont val="Tahoma"/>
            <family val="2"/>
          </rPr>
          <t>whyem:</t>
        </r>
        <r>
          <rPr>
            <sz val="8"/>
            <color indexed="81"/>
            <rFont val="Tahoma"/>
            <family val="2"/>
          </rPr>
          <t xml:space="preserve">
Sum of Int Supplies, Aux Consumption and Reserves</t>
        </r>
      </text>
    </comment>
    <comment ref="C32" authorId="1">
      <text>
        <r>
          <rPr>
            <b/>
            <sz val="8"/>
            <color indexed="81"/>
            <rFont val="Tahoma"/>
            <family val="2"/>
          </rPr>
          <t>whyem:</t>
        </r>
        <r>
          <rPr>
            <sz val="8"/>
            <color indexed="81"/>
            <rFont val="Tahoma"/>
            <family val="2"/>
          </rPr>
          <t xml:space="preserve">
PEAK GEN. minus "TOTAL OF EXTRA SUPPLIES"</t>
        </r>
      </text>
    </comment>
    <comment ref="C33" authorId="1">
      <text>
        <r>
          <rPr>
            <b/>
            <sz val="8"/>
            <color indexed="81"/>
            <rFont val="Tahoma"/>
            <family val="2"/>
          </rPr>
          <t>whyem:</t>
        </r>
        <r>
          <rPr>
            <sz val="8"/>
            <color indexed="81"/>
            <rFont val="Tahoma"/>
            <family val="2"/>
          </rPr>
          <t xml:space="preserve">
Remainder of C23 minus TOTAL OF EXTRA SUPPLIES</t>
        </r>
      </text>
    </comment>
  </commentList>
</comments>
</file>

<file path=xl/sharedStrings.xml><?xml version="1.0" encoding="utf-8"?>
<sst xmlns="http://schemas.openxmlformats.org/spreadsheetml/2006/main" count="295" uniqueCount="99">
  <si>
    <t>LOAD ALLOCATION BASED ON PERFORMANCE INDICATORS</t>
  </si>
  <si>
    <t xml:space="preserve">ABUJA </t>
  </si>
  <si>
    <t xml:space="preserve">BENIN </t>
  </si>
  <si>
    <t xml:space="preserve">EKO </t>
  </si>
  <si>
    <t xml:space="preserve">lKEJA </t>
  </si>
  <si>
    <t xml:space="preserve">ENUGU </t>
  </si>
  <si>
    <t xml:space="preserve">IBADAN </t>
  </si>
  <si>
    <t xml:space="preserve">JOS </t>
  </si>
  <si>
    <t xml:space="preserve">KADUNA </t>
  </si>
  <si>
    <t xml:space="preserve">KANO </t>
  </si>
  <si>
    <t xml:space="preserve">PORT HARCOURT </t>
  </si>
  <si>
    <t xml:space="preserve">YOLA </t>
  </si>
  <si>
    <t>DISTRIBUTION COMPANY</t>
  </si>
  <si>
    <t>PEAK GENERATION CAPACITY(MW)</t>
  </si>
  <si>
    <t>AVAILABLE GENERATION CAPACITY (MW)</t>
  </si>
  <si>
    <t>LOAD ALLOCATION BASED ON FORECASTED GENERATION CAPACITY (MW)</t>
  </si>
  <si>
    <t>LOAD ALLOCATION BASED ON AVAILABLE GENERATION CAPACITY (MW)</t>
  </si>
  <si>
    <t>LOAD ALLOCATION BASED ON PEAK GENERATION CAPACITY (MW)</t>
  </si>
  <si>
    <t>FORECASTED GENERATION CAPACITY (MW)</t>
  </si>
  <si>
    <t>%Loss Reduction</t>
  </si>
  <si>
    <t>%tage Metering</t>
  </si>
  <si>
    <t>%tage Network Expansion</t>
  </si>
  <si>
    <t>S/No</t>
  </si>
  <si>
    <t>FINAL LOAD ALLOCATION (MW)</t>
  </si>
  <si>
    <t>LOAD ALLOCATION BASED ON% SHARING (MIN. ALLOCATION)</t>
  </si>
  <si>
    <t>INTERNATIONAL SUPPLIES</t>
  </si>
  <si>
    <t>AUXILLIARY CONSUMPTION</t>
  </si>
  <si>
    <t>SPINNING RESERVES</t>
  </si>
  <si>
    <t>Customer Population</t>
  </si>
  <si>
    <t>Distribution Capacity (MVA)</t>
  </si>
  <si>
    <t>% of total available gen capacity (mw)</t>
  </si>
  <si>
    <t>Loss Reduction (% Points)</t>
  </si>
  <si>
    <t>Diff of Peak and 55% Allocation</t>
  </si>
  <si>
    <t>% Allocation Based on Cust.population (against Peak Cap)</t>
  </si>
  <si>
    <t>% Allocation Based on Cust.population (against Available Cap)</t>
  </si>
  <si>
    <t>% Allocation Based on Customer Population</t>
  </si>
  <si>
    <t>TOTAL</t>
  </si>
  <si>
    <t>STATION SERVICES &amp; STRATEGIC NODES FOR VOLTAGE CONTROL</t>
  </si>
  <si>
    <t>Capacity for Load Allocation amongst Discos</t>
  </si>
  <si>
    <t>OSOGBO</t>
  </si>
  <si>
    <t>MAIDUGURI</t>
  </si>
  <si>
    <t>KANO</t>
  </si>
  <si>
    <t>BENIN</t>
  </si>
  <si>
    <t>EASTERN AXIS</t>
  </si>
  <si>
    <t>LAGOS (IKEJA)</t>
  </si>
  <si>
    <t>LAGOS (EKO)</t>
  </si>
  <si>
    <t>ABUJA</t>
  </si>
  <si>
    <t>Metering (%); Weight: 30%</t>
  </si>
  <si>
    <t>Customer Satisfaction Index;   Weight: 0%</t>
  </si>
  <si>
    <t>ACTUAL GENERATION (MW)</t>
  </si>
  <si>
    <t>KADUNA</t>
  </si>
  <si>
    <t>COMMENT</t>
  </si>
  <si>
    <t>B1T can take up to 500MW; Balance of 450MW would be evacuated through Benin</t>
  </si>
  <si>
    <t>% of total available gen capacity (MW)</t>
  </si>
  <si>
    <t>Network Expansion (%); Weight: 20%</t>
  </si>
  <si>
    <t>Distribution Capacity (MVA);    Weight: 10%</t>
  </si>
  <si>
    <t>Loss Reduction (% Points); Weight: 40%</t>
  </si>
  <si>
    <t>Federal Capital City</t>
  </si>
  <si>
    <t>COMMENTS</t>
  </si>
  <si>
    <t>Fixed Bilateral Agreements</t>
  </si>
  <si>
    <t>Station Auxiliaries at power stations</t>
  </si>
  <si>
    <t>Consumption at transmission stations</t>
  </si>
  <si>
    <t>For voltage control</t>
  </si>
  <si>
    <t>For frequency control</t>
  </si>
  <si>
    <t>System overvoltage on Damasak/Dissa</t>
  </si>
  <si>
    <t>Economic Reasons</t>
  </si>
  <si>
    <t>For voltage control; Covering Ado-Ekiti, Akure, Asaba, Benin, Warri</t>
  </si>
  <si>
    <t>10% LOAD ALLOCATION BASED ON ACTUAL GENERATION (MW)</t>
  </si>
  <si>
    <t xml:space="preserve">Depends on the availability of machines on free governor control; </t>
  </si>
  <si>
    <t>For manual frequency control</t>
  </si>
  <si>
    <t>IBADAN</t>
  </si>
  <si>
    <t>NLA</t>
  </si>
  <si>
    <t xml:space="preserve">Voltage Control </t>
  </si>
  <si>
    <t>Voltage control; Covering Ado-Ekiti, Akure, Asaba, Benin, Warri</t>
  </si>
  <si>
    <t>Federal Capital Territory and Part of Nassarawa</t>
  </si>
  <si>
    <t>5% LOAD ALLOCATION BASED ON ACTUAL GENERATION (MW)</t>
  </si>
  <si>
    <t>According to Exemption</t>
  </si>
  <si>
    <t>Exemption 1</t>
  </si>
  <si>
    <t>LOAD ALLOCATION BASED ON ACTUAL GENERATION (MW)</t>
  </si>
  <si>
    <t>Methodology of Calculation for other discos (or load centers)</t>
  </si>
  <si>
    <t>1. Subtract total Exempted Load (Le) from Projected Generation (Gp) to get Allocation Load (La)</t>
  </si>
  <si>
    <t>2. Divide "Allocation Load (La)" by Peak Load of the Zone* (Lz1)</t>
  </si>
  <si>
    <t>3. Peak Load carried by Disco/Load Center is shared according to its historic load picked as Peak Load carried that Disco/Load Center</t>
  </si>
  <si>
    <t>International Airport</t>
  </si>
  <si>
    <t>Load Allocation (MW)</t>
  </si>
  <si>
    <t>PERCENT LOAD ALLOCATION BASED ON MYTO (%)</t>
  </si>
  <si>
    <t>LOAD ALLOCATION BASED ON PERCENT (MW)</t>
  </si>
  <si>
    <t>Diff of Peak (less Exemptions)  and % Allocation</t>
  </si>
  <si>
    <t>Exemptions</t>
  </si>
  <si>
    <t>Total</t>
  </si>
  <si>
    <t>Depends on the availability of machines on free governor control; 
dependent on dynamics of the system and availability of generators</t>
  </si>
  <si>
    <t>Loss Reduction      (% Points) Weight: 40%</t>
  </si>
  <si>
    <t>Metering (%); Weight: 40%</t>
  </si>
  <si>
    <t>Customer Satisfaction Index*;   Weight: 0%</t>
  </si>
  <si>
    <t>* Baseline value for the Customer Satisfaction Index has is yet to be established.</t>
  </si>
  <si>
    <t>NOTES</t>
  </si>
  <si>
    <t>All figures above are examples used for illustration purposes only.</t>
  </si>
  <si>
    <t>NERC publishes daily Actual Peak Generation (MW), which could be used for the above model.</t>
  </si>
  <si>
    <t>When it is done, it shall carry a weight of 15% of the Performance Indicators.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</si>
</sst>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_-* #,##0.000_-;\-* #,##0.000_-;_-* &quot;-&quot;??_-;_-@_-"/>
    <numFmt numFmtId="167" formatCode="0.000"/>
    <numFmt numFmtId="168" formatCode="0.0%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6" fillId="0" borderId="0"/>
    <xf numFmtId="9" fontId="2" fillId="0" borderId="0" applyFont="0" applyFill="0" applyBorder="0" applyAlignment="0" applyProtection="0"/>
  </cellStyleXfs>
  <cellXfs count="205">
    <xf numFmtId="0" fontId="0" fillId="0" borderId="0" xfId="0"/>
    <xf numFmtId="0" fontId="0" fillId="0" borderId="6" xfId="0" applyFont="1" applyBorder="1" applyAlignment="1">
      <alignment horizont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wrapText="1"/>
    </xf>
    <xf numFmtId="0" fontId="0" fillId="3" borderId="6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  <xf numFmtId="0" fontId="0" fillId="2" borderId="6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1" fontId="0" fillId="2" borderId="1" xfId="0" applyNumberFormat="1" applyFont="1" applyFill="1" applyBorder="1" applyAlignment="1">
      <alignment horizontal="center" wrapText="1"/>
    </xf>
    <xf numFmtId="1" fontId="0" fillId="2" borderId="6" xfId="0" applyNumberFormat="1" applyFont="1" applyFill="1" applyBorder="1" applyAlignment="1">
      <alignment horizontal="center" wrapText="1"/>
    </xf>
    <xf numFmtId="2" fontId="0" fillId="3" borderId="1" xfId="0" applyNumberFormat="1" applyFont="1" applyFill="1" applyBorder="1" applyAlignment="1">
      <alignment horizontal="center" wrapText="1"/>
    </xf>
    <xf numFmtId="164" fontId="0" fillId="3" borderId="1" xfId="0" applyNumberFormat="1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wrapText="1"/>
    </xf>
    <xf numFmtId="2" fontId="0" fillId="0" borderId="0" xfId="0" applyNumberFormat="1"/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2" fontId="5" fillId="6" borderId="0" xfId="0" applyNumberFormat="1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 wrapText="1"/>
    </xf>
    <xf numFmtId="164" fontId="0" fillId="0" borderId="0" xfId="0" applyNumberFormat="1"/>
    <xf numFmtId="2" fontId="5" fillId="6" borderId="0" xfId="0" applyNumberFormat="1" applyFont="1" applyFill="1"/>
    <xf numFmtId="0" fontId="5" fillId="6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3" fontId="0" fillId="6" borderId="1" xfId="1" applyFont="1" applyFill="1" applyBorder="1" applyAlignment="1">
      <alignment horizontal="center" wrapText="1"/>
    </xf>
    <xf numFmtId="165" fontId="0" fillId="6" borderId="1" xfId="1" applyNumberFormat="1" applyFont="1" applyFill="1" applyBorder="1" applyAlignment="1">
      <alignment horizontal="center" wrapText="1"/>
    </xf>
    <xf numFmtId="2" fontId="5" fillId="0" borderId="0" xfId="0" applyNumberFormat="1" applyFont="1"/>
    <xf numFmtId="43" fontId="5" fillId="0" borderId="0" xfId="1" applyFont="1"/>
    <xf numFmtId="0" fontId="5" fillId="0" borderId="0" xfId="0" applyFont="1"/>
    <xf numFmtId="43" fontId="5" fillId="0" borderId="0" xfId="0" applyNumberFormat="1" applyFont="1"/>
    <xf numFmtId="43" fontId="0" fillId="0" borderId="0" xfId="1" applyNumberFormat="1" applyFont="1"/>
    <xf numFmtId="43" fontId="0" fillId="6" borderId="1" xfId="1" applyNumberFormat="1" applyFont="1" applyFill="1" applyBorder="1" applyAlignment="1">
      <alignment horizontal="center" wrapText="1"/>
    </xf>
    <xf numFmtId="166" fontId="0" fillId="6" borderId="1" xfId="1" applyNumberFormat="1" applyFont="1" applyFill="1" applyBorder="1" applyAlignment="1">
      <alignment horizontal="center" wrapText="1"/>
    </xf>
    <xf numFmtId="166" fontId="0" fillId="0" borderId="0" xfId="0" applyNumberFormat="1"/>
    <xf numFmtId="167" fontId="0" fillId="0" borderId="0" xfId="0" applyNumberFormat="1"/>
    <xf numFmtId="165" fontId="0" fillId="0" borderId="0" xfId="0" applyNumberFormat="1"/>
    <xf numFmtId="2" fontId="0" fillId="0" borderId="1" xfId="0" applyNumberFormat="1" applyFont="1" applyBorder="1" applyAlignment="1">
      <alignment horizontal="center" wrapText="1"/>
    </xf>
    <xf numFmtId="2" fontId="5" fillId="0" borderId="0" xfId="0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horizontal="right" vertical="center" wrapText="1"/>
    </xf>
    <xf numFmtId="2" fontId="5" fillId="5" borderId="0" xfId="0" applyNumberFormat="1" applyFont="1" applyFill="1" applyAlignment="1">
      <alignment horizontal="center" vertical="center"/>
    </xf>
    <xf numFmtId="2" fontId="0" fillId="7" borderId="0" xfId="0" applyNumberFormat="1" applyFill="1"/>
    <xf numFmtId="2" fontId="5" fillId="8" borderId="0" xfId="0" applyNumberFormat="1" applyFont="1" applyFill="1"/>
    <xf numFmtId="43" fontId="5" fillId="8" borderId="0" xfId="0" applyNumberFormat="1" applyFont="1" applyFill="1"/>
    <xf numFmtId="164" fontId="0" fillId="9" borderId="1" xfId="0" applyNumberFormat="1" applyFont="1" applyFill="1" applyBorder="1" applyAlignment="1">
      <alignment horizontal="center" wrapText="1"/>
    </xf>
    <xf numFmtId="164" fontId="0" fillId="9" borderId="6" xfId="0" applyNumberFormat="1" applyFont="1" applyFill="1" applyBorder="1" applyAlignment="1">
      <alignment horizontal="center" wrapText="1"/>
    </xf>
    <xf numFmtId="0" fontId="0" fillId="9" borderId="1" xfId="0" applyFont="1" applyFill="1" applyBorder="1" applyAlignment="1">
      <alignment horizontal="center" wrapText="1"/>
    </xf>
    <xf numFmtId="0" fontId="0" fillId="9" borderId="6" xfId="0" applyFont="1" applyFill="1" applyBorder="1" applyAlignment="1">
      <alignment horizontal="center" wrapText="1"/>
    </xf>
    <xf numFmtId="43" fontId="0" fillId="9" borderId="1" xfId="1" applyFont="1" applyFill="1" applyBorder="1" applyAlignment="1">
      <alignment horizontal="center" wrapText="1"/>
    </xf>
    <xf numFmtId="43" fontId="0" fillId="9" borderId="6" xfId="1" applyFont="1" applyFill="1" applyBorder="1" applyAlignment="1">
      <alignment horizont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9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2" fontId="5" fillId="0" borderId="9" xfId="0" applyNumberFormat="1" applyFont="1" applyBorder="1" applyAlignment="1" applyProtection="1">
      <alignment horizontal="center" vertical="center"/>
      <protection locked="0"/>
    </xf>
    <xf numFmtId="2" fontId="5" fillId="6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2" fontId="5" fillId="4" borderId="1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43" fontId="0" fillId="0" borderId="0" xfId="0" applyNumberFormat="1"/>
    <xf numFmtId="2" fontId="5" fillId="0" borderId="9" xfId="0" applyNumberFormat="1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0" fillId="0" borderId="0" xfId="0" applyProtection="1"/>
    <xf numFmtId="0" fontId="5" fillId="0" borderId="0" xfId="0" applyFont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Protection="1"/>
    <xf numFmtId="0" fontId="1" fillId="0" borderId="0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2" fontId="5" fillId="6" borderId="9" xfId="0" applyNumberFormat="1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wrapText="1"/>
    </xf>
    <xf numFmtId="2" fontId="0" fillId="3" borderId="1" xfId="0" applyNumberFormat="1" applyFill="1" applyBorder="1" applyAlignment="1" applyProtection="1">
      <alignment horizont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wrapText="1"/>
    </xf>
    <xf numFmtId="0" fontId="0" fillId="0" borderId="6" xfId="0" applyFont="1" applyBorder="1" applyAlignment="1" applyProtection="1">
      <alignment horizont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horizontal="center" vertical="center" wrapText="1"/>
    </xf>
    <xf numFmtId="2" fontId="0" fillId="3" borderId="1" xfId="0" applyNumberFormat="1" applyFont="1" applyFill="1" applyBorder="1" applyAlignment="1" applyProtection="1">
      <alignment horizontal="center" wrapText="1"/>
    </xf>
    <xf numFmtId="1" fontId="5" fillId="0" borderId="9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2" fontId="0" fillId="0" borderId="0" xfId="0" applyNumberFormat="1" applyProtection="1"/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vertical="center" wrapText="1"/>
    </xf>
    <xf numFmtId="10" fontId="0" fillId="0" borderId="17" xfId="0" applyNumberFormat="1" applyBorder="1" applyAlignment="1" applyProtection="1">
      <alignment vertical="top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5" fillId="10" borderId="1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vertical="center" wrapText="1"/>
    </xf>
    <xf numFmtId="2" fontId="5" fillId="4" borderId="1" xfId="0" applyNumberFormat="1" applyFont="1" applyFill="1" applyBorder="1" applyAlignment="1" applyProtection="1">
      <alignment horizontal="center" vertical="center" wrapText="1"/>
    </xf>
    <xf numFmtId="2" fontId="5" fillId="10" borderId="1" xfId="0" applyNumberFormat="1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vertical="center" wrapText="1"/>
    </xf>
    <xf numFmtId="168" fontId="7" fillId="0" borderId="1" xfId="3" applyNumberFormat="1" applyFont="1" applyBorder="1" applyAlignment="1" applyProtection="1">
      <alignment horizontal="center" wrapText="1"/>
    </xf>
    <xf numFmtId="164" fontId="0" fillId="9" borderId="1" xfId="0" applyNumberFormat="1" applyFont="1" applyFill="1" applyBorder="1" applyAlignment="1" applyProtection="1">
      <alignment horizontal="center" wrapText="1"/>
    </xf>
    <xf numFmtId="43" fontId="0" fillId="6" borderId="1" xfId="1" applyNumberFormat="1" applyFont="1" applyFill="1" applyBorder="1" applyAlignment="1" applyProtection="1">
      <alignment horizontal="center" wrapText="1"/>
    </xf>
    <xf numFmtId="0" fontId="0" fillId="9" borderId="1" xfId="0" applyFont="1" applyFill="1" applyBorder="1" applyAlignment="1" applyProtection="1">
      <alignment horizontal="center" wrapText="1"/>
    </xf>
    <xf numFmtId="43" fontId="0" fillId="9" borderId="1" xfId="1" applyFont="1" applyFill="1" applyBorder="1" applyAlignment="1" applyProtection="1">
      <alignment horizont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2" fontId="0" fillId="6" borderId="15" xfId="3" applyNumberFormat="1" applyFont="1" applyFill="1" applyBorder="1" applyAlignment="1" applyProtection="1">
      <alignment horizontal="center" wrapText="1"/>
    </xf>
    <xf numFmtId="2" fontId="0" fillId="0" borderId="0" xfId="0" applyNumberFormat="1" applyFont="1" applyBorder="1" applyAlignment="1" applyProtection="1">
      <alignment horizontal="center" wrapText="1"/>
    </xf>
    <xf numFmtId="164" fontId="0" fillId="9" borderId="6" xfId="0" applyNumberFormat="1" applyFont="1" applyFill="1" applyBorder="1" applyAlignment="1" applyProtection="1">
      <alignment horizontal="center" wrapText="1"/>
    </xf>
    <xf numFmtId="0" fontId="0" fillId="9" borderId="6" xfId="0" applyFont="1" applyFill="1" applyBorder="1" applyAlignment="1" applyProtection="1">
      <alignment horizontal="center" wrapText="1"/>
    </xf>
    <xf numFmtId="10" fontId="0" fillId="0" borderId="0" xfId="0" applyNumberFormat="1" applyFont="1" applyBorder="1" applyAlignment="1" applyProtection="1">
      <alignment horizontal="center" wrapText="1"/>
    </xf>
    <xf numFmtId="2" fontId="10" fillId="0" borderId="0" xfId="0" applyNumberFormat="1" applyFont="1" applyProtection="1"/>
    <xf numFmtId="43" fontId="0" fillId="6" borderId="1" xfId="1" quotePrefix="1" applyNumberFormat="1" applyFont="1" applyFill="1" applyBorder="1" applyAlignment="1" applyProtection="1">
      <alignment horizontal="center" wrapText="1"/>
    </xf>
    <xf numFmtId="2" fontId="9" fillId="0" borderId="0" xfId="0" applyNumberFormat="1" applyFont="1" applyAlignment="1" applyProtection="1">
      <alignment horizontal="right"/>
    </xf>
    <xf numFmtId="2" fontId="9" fillId="0" borderId="0" xfId="0" applyNumberFormat="1" applyFont="1" applyProtection="1"/>
    <xf numFmtId="0" fontId="5" fillId="6" borderId="9" xfId="0" applyFont="1" applyFill="1" applyBorder="1" applyAlignment="1" applyProtection="1">
      <alignment horizontal="center" vertical="center" wrapText="1"/>
    </xf>
    <xf numFmtId="9" fontId="5" fillId="6" borderId="9" xfId="3" applyNumberFormat="1" applyFont="1" applyFill="1" applyBorder="1" applyAlignment="1" applyProtection="1">
      <alignment horizontal="center" vertical="center"/>
    </xf>
    <xf numFmtId="1" fontId="5" fillId="0" borderId="0" xfId="0" applyNumberFormat="1" applyFont="1" applyAlignment="1" applyProtection="1">
      <alignment horizontal="center" vertical="center"/>
    </xf>
    <xf numFmtId="43" fontId="5" fillId="0" borderId="0" xfId="0" applyNumberFormat="1" applyFont="1" applyProtection="1"/>
    <xf numFmtId="0" fontId="0" fillId="0" borderId="0" xfId="0" applyFont="1" applyBorder="1" applyAlignment="1" applyProtection="1">
      <alignment horizontal="center" wrapText="1"/>
    </xf>
    <xf numFmtId="2" fontId="1" fillId="0" borderId="0" xfId="0" applyNumberFormat="1" applyFont="1" applyProtection="1"/>
    <xf numFmtId="43" fontId="0" fillId="0" borderId="0" xfId="1" applyNumberFormat="1" applyFont="1" applyAlignment="1" applyProtection="1">
      <alignment vertical="center"/>
    </xf>
    <xf numFmtId="43" fontId="0" fillId="0" borderId="0" xfId="1" applyNumberFormat="1" applyFont="1" applyProtection="1"/>
    <xf numFmtId="165" fontId="0" fillId="0" borderId="0" xfId="0" applyNumberFormat="1" applyProtection="1"/>
    <xf numFmtId="0" fontId="11" fillId="0" borderId="0" xfId="0" applyFont="1" applyBorder="1" applyAlignment="1" applyProtection="1">
      <alignment horizontal="center" vertical="center" wrapText="1"/>
    </xf>
    <xf numFmtId="43" fontId="0" fillId="0" borderId="0" xfId="0" applyNumberFormat="1" applyProtection="1"/>
    <xf numFmtId="1" fontId="5" fillId="8" borderId="9" xfId="0" applyNumberFormat="1" applyFont="1" applyFill="1" applyBorder="1" applyAlignment="1" applyProtection="1">
      <alignment horizontal="center" vertical="center"/>
    </xf>
    <xf numFmtId="0" fontId="5" fillId="8" borderId="9" xfId="0" applyFont="1" applyFill="1" applyBorder="1" applyAlignment="1" applyProtection="1">
      <alignment horizontal="center" vertical="center"/>
    </xf>
    <xf numFmtId="166" fontId="0" fillId="0" borderId="0" xfId="0" applyNumberFormat="1" applyProtection="1"/>
    <xf numFmtId="43" fontId="12" fillId="9" borderId="1" xfId="1" applyFont="1" applyFill="1" applyBorder="1" applyAlignment="1" applyProtection="1">
      <alignment horizontal="center" wrapText="1"/>
    </xf>
    <xf numFmtId="0" fontId="0" fillId="0" borderId="0" xfId="0" applyAlignment="1" applyProtection="1"/>
    <xf numFmtId="0" fontId="5" fillId="0" borderId="10" xfId="0" applyFont="1" applyBorder="1" applyAlignment="1" applyProtection="1">
      <alignment horizontal="right" vertical="center"/>
    </xf>
    <xf numFmtId="0" fontId="5" fillId="0" borderId="11" xfId="0" applyFont="1" applyBorder="1" applyAlignment="1" applyProtection="1">
      <alignment horizontal="right" vertical="center"/>
    </xf>
    <xf numFmtId="0" fontId="1" fillId="4" borderId="8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left" vertical="center"/>
    </xf>
    <xf numFmtId="0" fontId="0" fillId="0" borderId="13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left"/>
    </xf>
    <xf numFmtId="0" fontId="0" fillId="0" borderId="7" xfId="0" applyBorder="1" applyAlignment="1" applyProtection="1">
      <alignment horizontal="left"/>
    </xf>
    <xf numFmtId="0" fontId="0" fillId="0" borderId="5" xfId="0" applyBorder="1" applyAlignment="1" applyProtection="1">
      <alignment horizontal="left"/>
    </xf>
    <xf numFmtId="0" fontId="0" fillId="0" borderId="17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12" xfId="0" applyBorder="1" applyAlignment="1" applyProtection="1">
      <alignment horizontal="left"/>
    </xf>
    <xf numFmtId="0" fontId="0" fillId="0" borderId="18" xfId="0" applyBorder="1" applyAlignment="1" applyProtection="1">
      <alignment horizontal="left"/>
    </xf>
    <xf numFmtId="0" fontId="0" fillId="0" borderId="19" xfId="0" applyBorder="1" applyAlignment="1" applyProtection="1">
      <alignment horizontal="left"/>
    </xf>
    <xf numFmtId="0" fontId="0" fillId="0" borderId="6" xfId="0" applyBorder="1" applyAlignment="1" applyProtection="1">
      <alignment horizontal="left"/>
    </xf>
    <xf numFmtId="0" fontId="0" fillId="0" borderId="10" xfId="0" applyBorder="1" applyAlignment="1" applyProtection="1">
      <alignment horizontal="left" vertical="center" wrapText="1"/>
    </xf>
    <xf numFmtId="0" fontId="0" fillId="0" borderId="13" xfId="0" applyBorder="1" applyAlignment="1" applyProtection="1">
      <alignment horizontal="left" vertical="center" wrapText="1"/>
    </xf>
    <xf numFmtId="0" fontId="0" fillId="0" borderId="11" xfId="0" applyBorder="1" applyAlignment="1" applyProtection="1">
      <alignment horizontal="left" vertical="center" wrapText="1"/>
    </xf>
    <xf numFmtId="0" fontId="0" fillId="0" borderId="10" xfId="0" applyFont="1" applyBorder="1" applyAlignment="1" applyProtection="1">
      <alignment horizontal="left" vertical="center" wrapText="1"/>
    </xf>
    <xf numFmtId="0" fontId="0" fillId="0" borderId="13" xfId="0" applyFont="1" applyBorder="1" applyAlignment="1" applyProtection="1">
      <alignment horizontal="left" vertical="center" wrapText="1"/>
    </xf>
    <xf numFmtId="0" fontId="0" fillId="0" borderId="11" xfId="0" applyFont="1" applyBorder="1" applyAlignment="1" applyProtection="1">
      <alignment horizontal="left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4" borderId="16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8" borderId="10" xfId="0" applyFont="1" applyFill="1" applyBorder="1" applyAlignment="1" applyProtection="1">
      <alignment horizontal="center" vertical="center" wrapText="1"/>
    </xf>
    <xf numFmtId="0" fontId="1" fillId="8" borderId="11" xfId="0" applyFont="1" applyFill="1" applyBorder="1" applyAlignment="1" applyProtection="1">
      <alignment horizontal="center" vertical="center" wrapText="1"/>
    </xf>
    <xf numFmtId="0" fontId="0" fillId="8" borderId="10" xfId="0" applyFill="1" applyBorder="1" applyAlignment="1" applyProtection="1">
      <alignment horizontal="left" vertical="center"/>
    </xf>
    <xf numFmtId="0" fontId="0" fillId="8" borderId="13" xfId="0" applyFill="1" applyBorder="1" applyAlignment="1" applyProtection="1">
      <alignment horizontal="left" vertical="center"/>
    </xf>
    <xf numFmtId="0" fontId="0" fillId="8" borderId="11" xfId="0" applyFill="1" applyBorder="1" applyAlignment="1" applyProtection="1">
      <alignment horizontal="left" vertical="center"/>
    </xf>
    <xf numFmtId="0" fontId="1" fillId="0" borderId="13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" fillId="0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_New Perf. Rpt Data Sheet - Work Sheet April" xfId="2"/>
    <cellStyle name="Percent" xfId="3" builtinId="5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theme="3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Pr>
        <a:bodyPr/>
        <a:lstStyle/>
        <a:p>
          <a:pPr>
            <a:defRPr lang="en-GB"/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load_allocation_final!$N$20</c:f>
              <c:strCache>
                <c:ptCount val="1"/>
                <c:pt idx="0">
                  <c:v>FINAL LOAD ALLOCATION (MW)</c:v>
                </c:pt>
              </c:strCache>
            </c:strRef>
          </c:tx>
          <c:cat>
            <c:strRef>
              <c:f>load_allocation_final!$B$23:$B$33</c:f>
              <c:strCache>
                <c:ptCount val="11"/>
                <c:pt idx="0">
                  <c:v>ABUJA </c:v>
                </c:pt>
                <c:pt idx="1">
                  <c:v>BENIN </c:v>
                </c:pt>
                <c:pt idx="2">
                  <c:v>EKO </c:v>
                </c:pt>
                <c:pt idx="3">
                  <c:v>ENUGU </c:v>
                </c:pt>
                <c:pt idx="4">
                  <c:v>IBADAN </c:v>
                </c:pt>
                <c:pt idx="5">
                  <c:v>lKEJA </c:v>
                </c:pt>
                <c:pt idx="6">
                  <c:v>JOS </c:v>
                </c:pt>
                <c:pt idx="7">
                  <c:v>KADUNA </c:v>
                </c:pt>
                <c:pt idx="8">
                  <c:v>KANO </c:v>
                </c:pt>
                <c:pt idx="9">
                  <c:v>PORT HARCOURT </c:v>
                </c:pt>
                <c:pt idx="10">
                  <c:v>YOLA </c:v>
                </c:pt>
              </c:strCache>
            </c:strRef>
          </c:cat>
          <c:val>
            <c:numRef>
              <c:f>load_allocation_final!$N$23:$N$33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axId val="116917760"/>
        <c:axId val="116919680"/>
      </c:barChart>
      <c:catAx>
        <c:axId val="116917760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116919680"/>
        <c:crosses val="autoZero"/>
        <c:auto val="1"/>
        <c:lblAlgn val="ctr"/>
        <c:lblOffset val="100"/>
      </c:catAx>
      <c:valAx>
        <c:axId val="116919680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116917760"/>
        <c:crosses val="autoZero"/>
        <c:crossBetween val="between"/>
      </c:valAx>
    </c:plotArea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2:O33"/>
  <sheetViews>
    <sheetView showGridLines="0" zoomScale="80" zoomScaleNormal="80" zoomScaleSheetLayoutView="80" workbookViewId="0">
      <selection activeCell="G31" sqref="G31"/>
    </sheetView>
  </sheetViews>
  <sheetFormatPr defaultRowHeight="15"/>
  <cols>
    <col min="1" max="1" width="9.140625" style="75"/>
    <col min="2" max="3" width="20.7109375" style="75" customWidth="1"/>
    <col min="4" max="4" width="13.7109375" style="75" customWidth="1"/>
    <col min="5" max="5" width="11.42578125" style="75" customWidth="1"/>
    <col min="6" max="6" width="13.7109375" style="75" customWidth="1"/>
    <col min="7" max="7" width="10.7109375" style="75" customWidth="1"/>
    <col min="8" max="8" width="13.7109375" style="75" customWidth="1"/>
    <col min="9" max="9" width="10.7109375" style="75" customWidth="1"/>
    <col min="10" max="10" width="13.7109375" style="75" customWidth="1"/>
    <col min="11" max="16384" width="9.140625" style="75"/>
  </cols>
  <sheetData>
    <row r="2" spans="2:10">
      <c r="B2" s="139" t="s">
        <v>49</v>
      </c>
      <c r="C2" s="140"/>
      <c r="D2" s="74">
        <v>3609.6</v>
      </c>
    </row>
    <row r="3" spans="2:10">
      <c r="B3" s="139" t="s">
        <v>14</v>
      </c>
      <c r="C3" s="140"/>
      <c r="D3" s="74">
        <v>8060</v>
      </c>
    </row>
    <row r="4" spans="2:10">
      <c r="B4" s="76"/>
      <c r="C4" s="76"/>
      <c r="D4" s="77"/>
      <c r="E4" s="78" t="s">
        <v>58</v>
      </c>
    </row>
    <row r="5" spans="2:10">
      <c r="B5" s="144" t="s">
        <v>25</v>
      </c>
      <c r="C5" s="144"/>
      <c r="D5" s="73">
        <v>223</v>
      </c>
      <c r="E5" s="145" t="s">
        <v>59</v>
      </c>
      <c r="F5" s="146"/>
      <c r="G5" s="146"/>
      <c r="H5" s="146"/>
      <c r="I5" s="146"/>
      <c r="J5" s="147"/>
    </row>
    <row r="6" spans="2:10">
      <c r="B6" s="144" t="s">
        <v>26</v>
      </c>
      <c r="C6" s="144"/>
      <c r="D6" s="73">
        <v>40</v>
      </c>
      <c r="E6" s="145" t="s">
        <v>60</v>
      </c>
      <c r="F6" s="146"/>
      <c r="G6" s="146"/>
      <c r="H6" s="146"/>
      <c r="I6" s="146"/>
      <c r="J6" s="147"/>
    </row>
    <row r="7" spans="2:10">
      <c r="B7" s="144" t="s">
        <v>27</v>
      </c>
      <c r="C7" s="144"/>
      <c r="D7" s="74">
        <v>210</v>
      </c>
      <c r="E7" s="159" t="s">
        <v>68</v>
      </c>
      <c r="F7" s="160"/>
      <c r="G7" s="160"/>
      <c r="H7" s="160"/>
      <c r="I7" s="160"/>
      <c r="J7" s="161"/>
    </row>
    <row r="8" spans="2:10">
      <c r="B8" s="144" t="s">
        <v>37</v>
      </c>
      <c r="C8" s="144"/>
      <c r="D8" s="74">
        <v>35</v>
      </c>
      <c r="E8" s="145" t="s">
        <v>61</v>
      </c>
      <c r="F8" s="146"/>
      <c r="G8" s="146"/>
      <c r="H8" s="146"/>
      <c r="I8" s="146"/>
      <c r="J8" s="147"/>
    </row>
    <row r="9" spans="2:10">
      <c r="B9" s="144" t="s">
        <v>43</v>
      </c>
      <c r="C9" s="144"/>
      <c r="D9" s="74">
        <v>756</v>
      </c>
      <c r="E9" s="162" t="s">
        <v>52</v>
      </c>
      <c r="F9" s="163"/>
      <c r="G9" s="163"/>
      <c r="H9" s="163"/>
      <c r="I9" s="163"/>
      <c r="J9" s="164"/>
    </row>
    <row r="10" spans="2:10">
      <c r="B10" s="144" t="s">
        <v>42</v>
      </c>
      <c r="C10" s="144"/>
      <c r="D10" s="74">
        <v>282</v>
      </c>
      <c r="E10" s="145" t="s">
        <v>73</v>
      </c>
      <c r="F10" s="146"/>
      <c r="G10" s="146"/>
      <c r="H10" s="146"/>
      <c r="I10" s="146"/>
      <c r="J10" s="147"/>
    </row>
    <row r="11" spans="2:10">
      <c r="B11" s="144" t="s">
        <v>39</v>
      </c>
      <c r="C11" s="144"/>
      <c r="D11" s="74">
        <v>184</v>
      </c>
      <c r="E11" s="145"/>
      <c r="F11" s="146"/>
      <c r="G11" s="146"/>
      <c r="H11" s="146"/>
      <c r="I11" s="146"/>
      <c r="J11" s="147"/>
    </row>
    <row r="12" spans="2:10">
      <c r="B12" s="144" t="s">
        <v>40</v>
      </c>
      <c r="C12" s="144"/>
      <c r="D12" s="74">
        <v>10</v>
      </c>
      <c r="E12" s="145" t="s">
        <v>72</v>
      </c>
      <c r="F12" s="146"/>
      <c r="G12" s="146"/>
      <c r="H12" s="146"/>
      <c r="I12" s="146"/>
      <c r="J12" s="147"/>
    </row>
    <row r="13" spans="2:10">
      <c r="B13" s="144" t="s">
        <v>41</v>
      </c>
      <c r="C13" s="144"/>
      <c r="D13" s="74">
        <v>10</v>
      </c>
      <c r="E13" s="145" t="s">
        <v>83</v>
      </c>
      <c r="F13" s="146"/>
      <c r="G13" s="146"/>
      <c r="H13" s="146"/>
      <c r="I13" s="146"/>
      <c r="J13" s="147"/>
    </row>
    <row r="14" spans="2:10">
      <c r="B14" s="148" t="s">
        <v>44</v>
      </c>
      <c r="C14" s="149"/>
      <c r="D14" s="74">
        <f>IF(($D$2&lt;3000), " ", 550)</f>
        <v>550</v>
      </c>
      <c r="E14" s="145" t="s">
        <v>65</v>
      </c>
      <c r="F14" s="146"/>
      <c r="G14" s="146"/>
      <c r="H14" s="146"/>
      <c r="I14" s="146"/>
      <c r="J14" s="147"/>
    </row>
    <row r="15" spans="2:10">
      <c r="B15" s="148" t="s">
        <v>45</v>
      </c>
      <c r="C15" s="149"/>
      <c r="D15" s="74">
        <f>IF(($D$2&lt;3000), " ", 450)</f>
        <v>450</v>
      </c>
      <c r="E15" s="145" t="s">
        <v>65</v>
      </c>
      <c r="F15" s="146"/>
      <c r="G15" s="146"/>
      <c r="H15" s="146"/>
      <c r="I15" s="146"/>
      <c r="J15" s="147"/>
    </row>
    <row r="16" spans="2:10">
      <c r="B16" s="144" t="s">
        <v>46</v>
      </c>
      <c r="C16" s="144"/>
      <c r="D16" s="74">
        <v>300</v>
      </c>
      <c r="E16" s="145" t="s">
        <v>74</v>
      </c>
      <c r="F16" s="146"/>
      <c r="G16" s="146"/>
      <c r="H16" s="146"/>
      <c r="I16" s="146"/>
      <c r="J16" s="147"/>
    </row>
    <row r="17" spans="1:15">
      <c r="B17" s="79"/>
      <c r="C17" s="80" t="s">
        <v>36</v>
      </c>
      <c r="D17" s="81">
        <f>SUM(D5:D16)</f>
        <v>3050</v>
      </c>
    </row>
    <row r="19" spans="1:15">
      <c r="B19" s="139" t="s">
        <v>38</v>
      </c>
      <c r="C19" s="140"/>
      <c r="D19" s="73">
        <f>D2-D17</f>
        <v>559.59999999999991</v>
      </c>
    </row>
    <row r="21" spans="1:15" ht="15.75" thickBot="1"/>
    <row r="22" spans="1:15" ht="30.75" customHeight="1" thickBot="1">
      <c r="A22" s="82" t="s">
        <v>22</v>
      </c>
      <c r="B22" s="82" t="s">
        <v>12</v>
      </c>
      <c r="C22" s="82" t="s">
        <v>78</v>
      </c>
      <c r="E22" s="141" t="s">
        <v>79</v>
      </c>
      <c r="F22" s="142"/>
      <c r="G22" s="143"/>
    </row>
    <row r="23" spans="1:15" ht="30.75" customHeight="1" thickBot="1">
      <c r="A23" s="83">
        <v>1</v>
      </c>
      <c r="B23" s="84" t="s">
        <v>1</v>
      </c>
      <c r="C23" s="85" t="s">
        <v>76</v>
      </c>
      <c r="E23" s="150" t="s">
        <v>80</v>
      </c>
      <c r="F23" s="151"/>
      <c r="G23" s="151"/>
      <c r="H23" s="151"/>
      <c r="I23" s="151"/>
      <c r="J23" s="151"/>
      <c r="K23" s="151"/>
      <c r="L23" s="151"/>
      <c r="M23" s="151"/>
      <c r="N23" s="151"/>
      <c r="O23" s="152"/>
    </row>
    <row r="24" spans="1:15" ht="30.75" customHeight="1" thickBot="1">
      <c r="A24" s="86">
        <v>2</v>
      </c>
      <c r="B24" s="87" t="s">
        <v>2</v>
      </c>
      <c r="C24" s="85" t="s">
        <v>76</v>
      </c>
      <c r="E24" s="153" t="s">
        <v>81</v>
      </c>
      <c r="F24" s="154"/>
      <c r="G24" s="154"/>
      <c r="H24" s="154"/>
      <c r="I24" s="154"/>
      <c r="J24" s="154"/>
      <c r="K24" s="154"/>
      <c r="L24" s="154"/>
      <c r="M24" s="154"/>
      <c r="N24" s="154"/>
      <c r="O24" s="155"/>
    </row>
    <row r="25" spans="1:15" ht="30.75" customHeight="1" thickBot="1">
      <c r="A25" s="86">
        <v>3</v>
      </c>
      <c r="B25" s="88" t="s">
        <v>3</v>
      </c>
      <c r="C25" s="85" t="s">
        <v>76</v>
      </c>
      <c r="E25" s="156" t="s">
        <v>82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8"/>
    </row>
    <row r="26" spans="1:15" ht="30.75" customHeight="1" thickBot="1">
      <c r="A26" s="86">
        <v>4</v>
      </c>
      <c r="B26" s="89" t="s">
        <v>5</v>
      </c>
      <c r="C26" s="85" t="s">
        <v>76</v>
      </c>
    </row>
    <row r="27" spans="1:15" ht="30.75" customHeight="1" thickBot="1">
      <c r="A27" s="86">
        <v>5</v>
      </c>
      <c r="B27" s="90" t="s">
        <v>6</v>
      </c>
      <c r="C27" s="91"/>
    </row>
    <row r="28" spans="1:15" ht="30.75" customHeight="1" thickBot="1">
      <c r="A28" s="86">
        <v>6</v>
      </c>
      <c r="B28" s="88" t="s">
        <v>4</v>
      </c>
      <c r="C28" s="85" t="s">
        <v>76</v>
      </c>
    </row>
    <row r="29" spans="1:15" ht="30.75" customHeight="1" thickBot="1">
      <c r="A29" s="86">
        <v>7</v>
      </c>
      <c r="B29" s="90" t="s">
        <v>7</v>
      </c>
      <c r="C29" s="91"/>
    </row>
    <row r="30" spans="1:15" ht="30.75" customHeight="1" thickBot="1">
      <c r="A30" s="86">
        <v>8</v>
      </c>
      <c r="B30" s="90" t="s">
        <v>8</v>
      </c>
      <c r="C30" s="91"/>
    </row>
    <row r="31" spans="1:15" ht="30.75" customHeight="1" thickBot="1">
      <c r="A31" s="86">
        <v>9</v>
      </c>
      <c r="B31" s="90" t="s">
        <v>9</v>
      </c>
      <c r="C31" s="91"/>
    </row>
    <row r="32" spans="1:15" ht="30.75" customHeight="1" thickBot="1">
      <c r="A32" s="86">
        <v>10</v>
      </c>
      <c r="B32" s="89" t="s">
        <v>10</v>
      </c>
      <c r="C32" s="85" t="s">
        <v>76</v>
      </c>
    </row>
    <row r="33" spans="1:3" ht="30.75" customHeight="1" thickBot="1">
      <c r="A33" s="86">
        <v>11</v>
      </c>
      <c r="B33" s="89" t="s">
        <v>11</v>
      </c>
      <c r="C33" s="91"/>
    </row>
  </sheetData>
  <sheetProtection password="EA6B" sheet="1" objects="1" scenarios="1"/>
  <mergeCells count="31">
    <mergeCell ref="E23:O23"/>
    <mergeCell ref="E24:O24"/>
    <mergeCell ref="E25:O25"/>
    <mergeCell ref="B2:C2"/>
    <mergeCell ref="B3:C3"/>
    <mergeCell ref="B5:C5"/>
    <mergeCell ref="E5:J5"/>
    <mergeCell ref="B6:C6"/>
    <mergeCell ref="E6:J6"/>
    <mergeCell ref="B7:C7"/>
    <mergeCell ref="E7:J7"/>
    <mergeCell ref="B8:C8"/>
    <mergeCell ref="E8:J8"/>
    <mergeCell ref="B9:C9"/>
    <mergeCell ref="E9:J9"/>
    <mergeCell ref="B10:C10"/>
    <mergeCell ref="E10:J10"/>
    <mergeCell ref="B11:C11"/>
    <mergeCell ref="E11:J11"/>
    <mergeCell ref="B12:C12"/>
    <mergeCell ref="E12:J12"/>
    <mergeCell ref="B19:C19"/>
    <mergeCell ref="E22:G22"/>
    <mergeCell ref="B13:C13"/>
    <mergeCell ref="E13:J13"/>
    <mergeCell ref="B14:C14"/>
    <mergeCell ref="E14:J14"/>
    <mergeCell ref="B15:C15"/>
    <mergeCell ref="E15:J15"/>
    <mergeCell ref="B16:C16"/>
    <mergeCell ref="E16:J16"/>
  </mergeCells>
  <dataValidations count="3">
    <dataValidation type="whole" errorStyle="information" showInputMessage="1" showErrorMessage="1" errorTitle="Actual Gen" error="Generation below 2000MW are dispatched according to SO's discretion for system security and stability." promptTitle="Actual Gen" prompt="Generation below 2000MW are dispatched according to SO's discretion for system security and stability." sqref="D2">
      <formula1>3200</formula1>
      <formula2>4500</formula2>
    </dataValidation>
    <dataValidation allowBlank="1" showInputMessage="1" showErrorMessage="1" prompt="Includes Delta, Edo, Ekiti, Ondo States" sqref="D10"/>
    <dataValidation errorStyle="information" allowBlank="1" showInputMessage="1" showErrorMessage="1" prompt="This axis includes the PHEDC (A/Ibom, Bayelsa, C/River, Rivers) and ENEDC (Abia, Anambra, Ebonyi, Imo, Enugu)" sqref="D9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R43"/>
  <sheetViews>
    <sheetView showGridLines="0" tabSelected="1" zoomScale="90" zoomScaleNormal="90" workbookViewId="0">
      <selection activeCell="B1" sqref="B1"/>
    </sheetView>
  </sheetViews>
  <sheetFormatPr defaultRowHeight="15"/>
  <cols>
    <col min="1" max="1" width="9.140625" style="75"/>
    <col min="2" max="2" width="20.7109375" style="75" customWidth="1"/>
    <col min="3" max="3" width="12.140625" style="75" customWidth="1"/>
    <col min="4" max="4" width="12.7109375" style="75" customWidth="1"/>
    <col min="5" max="5" width="13.7109375" style="75" customWidth="1"/>
    <col min="6" max="8" width="11.42578125" style="75" customWidth="1"/>
    <col min="9" max="9" width="13.7109375" style="75" customWidth="1"/>
    <col min="10" max="10" width="10.7109375" style="75" customWidth="1"/>
    <col min="11" max="11" width="13.7109375" style="75" customWidth="1"/>
    <col min="12" max="12" width="10.42578125" style="75" customWidth="1"/>
    <col min="13" max="13" width="13.5703125" style="75" customWidth="1"/>
    <col min="14" max="15" width="10.7109375" style="75" hidden="1" customWidth="1"/>
    <col min="16" max="17" width="8.7109375" style="75" hidden="1" customWidth="1"/>
    <col min="18" max="19" width="9.140625" style="75"/>
    <col min="20" max="20" width="12.28515625" style="75" bestFit="1" customWidth="1"/>
    <col min="21" max="16384" width="9.140625" style="75"/>
  </cols>
  <sheetData>
    <row r="2" spans="1:16" ht="20.100000000000001" customHeight="1">
      <c r="B2" s="168" t="s">
        <v>49</v>
      </c>
      <c r="C2" s="169"/>
      <c r="D2" s="170"/>
      <c r="E2" s="60">
        <v>3406</v>
      </c>
    </row>
    <row r="3" spans="1:16" ht="20.100000000000001" customHeight="1">
      <c r="B3" s="168" t="s">
        <v>14</v>
      </c>
      <c r="C3" s="169"/>
      <c r="D3" s="170"/>
      <c r="E3" s="74">
        <v>5125</v>
      </c>
    </row>
    <row r="4" spans="1:16" ht="20.100000000000001" customHeight="1">
      <c r="B4" s="76"/>
      <c r="C4" s="76"/>
      <c r="D4" s="76"/>
      <c r="E4" s="93"/>
    </row>
    <row r="5" spans="1:16" ht="20.100000000000001" customHeight="1">
      <c r="B5" s="94" t="s">
        <v>77</v>
      </c>
      <c r="C5" s="76"/>
      <c r="D5" s="76"/>
      <c r="E5" s="77"/>
      <c r="F5" s="78" t="s">
        <v>51</v>
      </c>
      <c r="G5" s="78"/>
      <c r="H5" s="78"/>
    </row>
    <row r="6" spans="1:16" ht="20.100000000000001" customHeight="1">
      <c r="B6" s="148" t="s">
        <v>25</v>
      </c>
      <c r="C6" s="181"/>
      <c r="D6" s="149"/>
      <c r="E6" s="73">
        <v>160</v>
      </c>
      <c r="F6" s="145" t="s">
        <v>59</v>
      </c>
      <c r="G6" s="146"/>
      <c r="H6" s="146"/>
      <c r="I6" s="146"/>
      <c r="J6" s="146"/>
      <c r="K6" s="146"/>
      <c r="L6" s="147"/>
    </row>
    <row r="7" spans="1:16" ht="20.100000000000001" customHeight="1">
      <c r="B7" s="148" t="s">
        <v>26</v>
      </c>
      <c r="C7" s="181"/>
      <c r="D7" s="149"/>
      <c r="E7" s="73">
        <f>5%*E2</f>
        <v>170.3</v>
      </c>
      <c r="F7" s="145" t="s">
        <v>60</v>
      </c>
      <c r="G7" s="146"/>
      <c r="H7" s="146"/>
      <c r="I7" s="146"/>
      <c r="J7" s="146"/>
      <c r="K7" s="146"/>
      <c r="L7" s="147"/>
    </row>
    <row r="8" spans="1:16" ht="30" customHeight="1">
      <c r="B8" s="148" t="s">
        <v>27</v>
      </c>
      <c r="C8" s="181"/>
      <c r="D8" s="149"/>
      <c r="E8" s="73">
        <v>220</v>
      </c>
      <c r="F8" s="159" t="s">
        <v>90</v>
      </c>
      <c r="G8" s="146"/>
      <c r="H8" s="146"/>
      <c r="I8" s="146"/>
      <c r="J8" s="146"/>
      <c r="K8" s="146"/>
      <c r="L8" s="147"/>
    </row>
    <row r="9" spans="1:16" ht="30" customHeight="1">
      <c r="B9" s="148" t="s">
        <v>37</v>
      </c>
      <c r="C9" s="181"/>
      <c r="D9" s="149"/>
      <c r="E9" s="73">
        <v>130</v>
      </c>
      <c r="F9" s="145" t="s">
        <v>61</v>
      </c>
      <c r="G9" s="146"/>
      <c r="H9" s="146"/>
      <c r="I9" s="146"/>
      <c r="J9" s="146"/>
      <c r="K9" s="146"/>
      <c r="L9" s="147"/>
    </row>
    <row r="10" spans="1:16" ht="14.25" customHeight="1">
      <c r="C10" s="166" t="s">
        <v>36</v>
      </c>
      <c r="D10" s="167"/>
      <c r="E10" s="81">
        <f>SUM(E6:E9)</f>
        <v>680.3</v>
      </c>
    </row>
    <row r="11" spans="1:16" ht="14.25" customHeight="1">
      <c r="C11" s="95"/>
      <c r="D11" s="95"/>
    </row>
    <row r="12" spans="1:16" ht="20.100000000000001" customHeight="1">
      <c r="B12" s="168" t="s">
        <v>38</v>
      </c>
      <c r="C12" s="169"/>
      <c r="D12" s="170"/>
      <c r="E12" s="92">
        <f>E2-E10</f>
        <v>2725.7</v>
      </c>
      <c r="G12" s="96"/>
    </row>
    <row r="13" spans="1:16" ht="20.100000000000001" customHeight="1" thickBot="1"/>
    <row r="14" spans="1:16" ht="23.25" customHeight="1" thickBot="1">
      <c r="A14" s="173" t="s">
        <v>22</v>
      </c>
      <c r="B14" s="173" t="s">
        <v>12</v>
      </c>
      <c r="C14" s="173" t="s">
        <v>85</v>
      </c>
      <c r="D14" s="173" t="s">
        <v>86</v>
      </c>
      <c r="E14" s="171" t="s">
        <v>0</v>
      </c>
      <c r="F14" s="172"/>
      <c r="G14" s="172"/>
      <c r="H14" s="172"/>
      <c r="I14" s="172"/>
      <c r="J14" s="172"/>
      <c r="K14" s="172"/>
      <c r="L14" s="172"/>
      <c r="M14" s="173" t="s">
        <v>23</v>
      </c>
      <c r="N14" s="97"/>
      <c r="O14" s="98"/>
      <c r="P14" s="99"/>
    </row>
    <row r="15" spans="1:16" ht="68.25" customHeight="1" thickBot="1">
      <c r="A15" s="174"/>
      <c r="B15" s="174"/>
      <c r="C15" s="174"/>
      <c r="D15" s="174"/>
      <c r="E15" s="100" t="s">
        <v>91</v>
      </c>
      <c r="F15" s="101" t="s">
        <v>84</v>
      </c>
      <c r="G15" s="100" t="s">
        <v>92</v>
      </c>
      <c r="H15" s="101" t="s">
        <v>84</v>
      </c>
      <c r="I15" s="100" t="s">
        <v>54</v>
      </c>
      <c r="J15" s="101" t="s">
        <v>84</v>
      </c>
      <c r="K15" s="100" t="s">
        <v>93</v>
      </c>
      <c r="L15" s="101" t="s">
        <v>84</v>
      </c>
      <c r="M15" s="174"/>
      <c r="N15" s="102"/>
      <c r="O15" s="103"/>
      <c r="P15" s="99"/>
    </row>
    <row r="16" spans="1:16" ht="19.5" customHeight="1" thickBot="1">
      <c r="A16" s="175"/>
      <c r="B16" s="175"/>
      <c r="C16" s="175"/>
      <c r="D16" s="175"/>
      <c r="E16" s="104">
        <f>$D$34*40%</f>
        <v>0</v>
      </c>
      <c r="F16" s="105">
        <f>IF((SUM(All_LRF)=$E$16),$E$16,"ERROR IN REMAINDER")</f>
        <v>0</v>
      </c>
      <c r="G16" s="104">
        <f>$D$34*40%</f>
        <v>0</v>
      </c>
      <c r="H16" s="105">
        <f>IF((SUM(H17:H27)=$G$16),$G$16,"ERROR IN REMAINDER")</f>
        <v>0</v>
      </c>
      <c r="I16" s="104">
        <f>$D$34*20%</f>
        <v>0</v>
      </c>
      <c r="J16" s="105">
        <f>IF((SUM(J17:J27)=$I$16),$I$16,"ERROR IN REMAINDER")</f>
        <v>0</v>
      </c>
      <c r="K16" s="104">
        <v>0</v>
      </c>
      <c r="L16" s="105">
        <f>IF((SUM(L17:L27)=$K$16),$K$16,"ERROR IN REMAINDER")</f>
        <v>0</v>
      </c>
      <c r="M16" s="175"/>
      <c r="N16" s="106"/>
      <c r="O16" s="107"/>
      <c r="P16" s="99"/>
    </row>
    <row r="17" spans="1:18" ht="24.95" customHeight="1" thickBot="1">
      <c r="A17" s="83">
        <v>1</v>
      </c>
      <c r="B17" s="84" t="s">
        <v>1</v>
      </c>
      <c r="C17" s="108">
        <v>0.115</v>
      </c>
      <c r="D17" s="91">
        <f>IF($E$12&lt;3200,$C17*$E$12,$C17*3200)</f>
        <v>313.45549999999997</v>
      </c>
      <c r="E17" s="109">
        <v>5.6</v>
      </c>
      <c r="F17" s="110">
        <f>$E16*($E17/SUM($E17:$E27))</f>
        <v>0</v>
      </c>
      <c r="G17" s="111">
        <v>52.3</v>
      </c>
      <c r="H17" s="110">
        <f t="shared" ref="H17:H27" si="0">$G$16*($G17/SUM($G$17:$G$27))</f>
        <v>0</v>
      </c>
      <c r="I17" s="111">
        <v>61.3</v>
      </c>
      <c r="J17" s="110">
        <f t="shared" ref="J17:J27" si="1">$I$16*($I17/SUM($I$17:$I$27))</f>
        <v>0</v>
      </c>
      <c r="K17" s="112">
        <v>0</v>
      </c>
      <c r="L17" s="110">
        <f>$K$16*($K17/SUM($K$17:$K$27))</f>
        <v>0</v>
      </c>
      <c r="M17" s="113">
        <f>SUM($D17,$F17,$H17,$J17)</f>
        <v>313.45549999999997</v>
      </c>
      <c r="N17" s="114">
        <v>300</v>
      </c>
      <c r="O17" s="110">
        <f>IF($M$17&gt;300,$M$17,300)</f>
        <v>313.45549999999997</v>
      </c>
      <c r="P17" s="115"/>
      <c r="Q17" s="96">
        <f>200+8.9+81.6</f>
        <v>290.5</v>
      </c>
      <c r="R17" s="96"/>
    </row>
    <row r="18" spans="1:18" ht="24.95" customHeight="1" thickBot="1">
      <c r="A18" s="86">
        <v>2</v>
      </c>
      <c r="B18" s="87" t="s">
        <v>2</v>
      </c>
      <c r="C18" s="108">
        <v>0.09</v>
      </c>
      <c r="D18" s="91">
        <f t="shared" ref="D18:D27" si="2">IF($E$12&lt;3200,$C18*$E$12,$C18*3200)</f>
        <v>245.31299999999999</v>
      </c>
      <c r="E18" s="116">
        <v>4.9000000000000004</v>
      </c>
      <c r="F18" s="110">
        <f>E16*(E18/SUM(E17:E27))</f>
        <v>0</v>
      </c>
      <c r="G18" s="117">
        <v>48.2</v>
      </c>
      <c r="H18" s="110">
        <f t="shared" si="0"/>
        <v>0</v>
      </c>
      <c r="I18" s="117">
        <v>64.2</v>
      </c>
      <c r="J18" s="110">
        <f t="shared" si="1"/>
        <v>0</v>
      </c>
      <c r="K18" s="112">
        <v>0</v>
      </c>
      <c r="L18" s="110">
        <f t="shared" ref="L18:L27" si="3">$K$16*($K18/SUM($K$17:$K$27))</f>
        <v>0</v>
      </c>
      <c r="M18" s="113">
        <f t="shared" ref="M18:M27" si="4">SUM($D18,$F18,$H18,$J18)</f>
        <v>245.31299999999999</v>
      </c>
      <c r="N18" s="114">
        <v>282</v>
      </c>
      <c r="O18" s="110">
        <f>IF($M$18=$D$31,$M$18,$D$31)</f>
        <v>282</v>
      </c>
      <c r="P18" s="118"/>
      <c r="Q18" s="96">
        <v>173</v>
      </c>
      <c r="R18" s="96"/>
    </row>
    <row r="19" spans="1:18" ht="24.95" customHeight="1" thickBot="1">
      <c r="A19" s="86">
        <v>3</v>
      </c>
      <c r="B19" s="88" t="s">
        <v>3</v>
      </c>
      <c r="C19" s="108">
        <v>0.11</v>
      </c>
      <c r="D19" s="91">
        <f t="shared" si="2"/>
        <v>299.827</v>
      </c>
      <c r="E19" s="116">
        <v>5.2</v>
      </c>
      <c r="F19" s="110">
        <f>E16*(E19/SUM(E17:E27))</f>
        <v>0</v>
      </c>
      <c r="G19" s="117">
        <v>46.7</v>
      </c>
      <c r="H19" s="110">
        <f t="shared" si="0"/>
        <v>0</v>
      </c>
      <c r="I19" s="117">
        <v>78.7</v>
      </c>
      <c r="J19" s="110">
        <f t="shared" si="1"/>
        <v>0</v>
      </c>
      <c r="K19" s="112">
        <v>0</v>
      </c>
      <c r="L19" s="110">
        <f t="shared" si="3"/>
        <v>0</v>
      </c>
      <c r="M19" s="113">
        <f t="shared" si="4"/>
        <v>299.827</v>
      </c>
      <c r="N19" s="114">
        <v>450</v>
      </c>
      <c r="O19" s="110">
        <f>IF($M19=450,$M19,450)</f>
        <v>450</v>
      </c>
      <c r="P19" s="118">
        <f>567.2/E12</f>
        <v>0.20809333382250433</v>
      </c>
      <c r="Q19" s="119">
        <f>P19*E12</f>
        <v>567.20000000000005</v>
      </c>
      <c r="R19" s="96"/>
    </row>
    <row r="20" spans="1:18" ht="24.95" customHeight="1" thickBot="1">
      <c r="A20" s="86">
        <v>4</v>
      </c>
      <c r="B20" s="89" t="s">
        <v>5</v>
      </c>
      <c r="C20" s="108">
        <v>0.09</v>
      </c>
      <c r="D20" s="91">
        <f t="shared" si="2"/>
        <v>245.31299999999999</v>
      </c>
      <c r="E20" s="116">
        <v>5.0999999999999996</v>
      </c>
      <c r="F20" s="110">
        <f>E16*(E20/SUM(E17:E27))</f>
        <v>0</v>
      </c>
      <c r="G20" s="117">
        <v>39.9</v>
      </c>
      <c r="H20" s="110">
        <f t="shared" si="0"/>
        <v>0</v>
      </c>
      <c r="I20" s="117">
        <v>57.4</v>
      </c>
      <c r="J20" s="110">
        <f t="shared" si="1"/>
        <v>0</v>
      </c>
      <c r="K20" s="112">
        <v>0</v>
      </c>
      <c r="L20" s="110">
        <f t="shared" si="3"/>
        <v>0</v>
      </c>
      <c r="M20" s="113">
        <f t="shared" si="4"/>
        <v>245.31299999999999</v>
      </c>
      <c r="N20" s="114">
        <v>400</v>
      </c>
      <c r="O20" s="120"/>
      <c r="P20" s="118"/>
      <c r="Q20" s="96">
        <f>163.9+130.5+113.05</f>
        <v>407.45</v>
      </c>
      <c r="R20" s="96"/>
    </row>
    <row r="21" spans="1:18" ht="24.95" customHeight="1" thickBot="1">
      <c r="A21" s="86">
        <v>5</v>
      </c>
      <c r="B21" s="90" t="s">
        <v>6</v>
      </c>
      <c r="C21" s="108">
        <v>0.13</v>
      </c>
      <c r="D21" s="91">
        <f t="shared" si="2"/>
        <v>354.34100000000001</v>
      </c>
      <c r="E21" s="116">
        <v>3.9</v>
      </c>
      <c r="F21" s="110">
        <f>E16*(E21/SUM(E17:E27))</f>
        <v>0</v>
      </c>
      <c r="G21" s="117">
        <v>30.2</v>
      </c>
      <c r="H21" s="110">
        <f t="shared" si="0"/>
        <v>0</v>
      </c>
      <c r="I21" s="117">
        <v>47.1</v>
      </c>
      <c r="J21" s="110">
        <f t="shared" si="1"/>
        <v>0</v>
      </c>
      <c r="K21" s="112">
        <v>0</v>
      </c>
      <c r="L21" s="110">
        <f t="shared" si="3"/>
        <v>0</v>
      </c>
      <c r="M21" s="113">
        <f t="shared" si="4"/>
        <v>354.34100000000001</v>
      </c>
      <c r="N21" s="114" t="s">
        <v>71</v>
      </c>
      <c r="O21" s="110">
        <f>IF(M21&lt;200,200,M21)</f>
        <v>354.34100000000001</v>
      </c>
      <c r="P21" s="118"/>
      <c r="Q21" s="121">
        <v>129.80000000000001</v>
      </c>
      <c r="R21" s="96"/>
    </row>
    <row r="22" spans="1:18" ht="24.95" customHeight="1" thickBot="1">
      <c r="A22" s="86">
        <v>6</v>
      </c>
      <c r="B22" s="88" t="s">
        <v>4</v>
      </c>
      <c r="C22" s="108">
        <v>0.15</v>
      </c>
      <c r="D22" s="91">
        <f t="shared" si="2"/>
        <v>408.85499999999996</v>
      </c>
      <c r="E22" s="116">
        <v>4.5</v>
      </c>
      <c r="F22" s="110">
        <f>E16*(E22/SUM(E17:E27))</f>
        <v>0</v>
      </c>
      <c r="G22" s="111">
        <v>46.7</v>
      </c>
      <c r="H22" s="110">
        <f t="shared" si="0"/>
        <v>0</v>
      </c>
      <c r="I22" s="117">
        <v>74.2</v>
      </c>
      <c r="J22" s="110">
        <f t="shared" si="1"/>
        <v>0</v>
      </c>
      <c r="K22" s="112">
        <v>0</v>
      </c>
      <c r="L22" s="110">
        <f t="shared" si="3"/>
        <v>0</v>
      </c>
      <c r="M22" s="113">
        <f t="shared" si="4"/>
        <v>408.85499999999996</v>
      </c>
      <c r="N22" s="114">
        <v>550</v>
      </c>
      <c r="O22" s="110">
        <f>IF($M22&gt;=550,$M22,550)</f>
        <v>550</v>
      </c>
      <c r="P22" s="118">
        <f>545.8/E12</f>
        <v>0.20024213963385551</v>
      </c>
      <c r="Q22" s="119">
        <f>P22*E12</f>
        <v>545.79999999999995</v>
      </c>
      <c r="R22" s="96"/>
    </row>
    <row r="23" spans="1:18" ht="24.95" customHeight="1" thickBot="1">
      <c r="A23" s="86">
        <v>7</v>
      </c>
      <c r="B23" s="90" t="s">
        <v>7</v>
      </c>
      <c r="C23" s="108">
        <v>5.5E-2</v>
      </c>
      <c r="D23" s="91">
        <f t="shared" si="2"/>
        <v>149.9135</v>
      </c>
      <c r="E23" s="116">
        <v>3.4</v>
      </c>
      <c r="F23" s="110">
        <f>E16*(E23/SUM(E17:E27))</f>
        <v>0</v>
      </c>
      <c r="G23" s="117">
        <v>30.1</v>
      </c>
      <c r="H23" s="110">
        <f t="shared" si="0"/>
        <v>0</v>
      </c>
      <c r="I23" s="117">
        <v>76.3</v>
      </c>
      <c r="J23" s="110">
        <f t="shared" si="1"/>
        <v>0</v>
      </c>
      <c r="K23" s="112">
        <v>0</v>
      </c>
      <c r="L23" s="110">
        <f t="shared" si="3"/>
        <v>0</v>
      </c>
      <c r="M23" s="113">
        <f t="shared" si="4"/>
        <v>149.9135</v>
      </c>
      <c r="N23" s="114" t="s">
        <v>71</v>
      </c>
      <c r="O23" s="110">
        <f>IF($M$23&gt;130,130,$M$23)</f>
        <v>130</v>
      </c>
      <c r="P23" s="118"/>
      <c r="Q23" s="96">
        <v>98.87</v>
      </c>
      <c r="R23" s="96"/>
    </row>
    <row r="24" spans="1:18" ht="24.95" customHeight="1" thickBot="1">
      <c r="A24" s="86">
        <v>8</v>
      </c>
      <c r="B24" s="90" t="s">
        <v>8</v>
      </c>
      <c r="C24" s="108">
        <v>0.08</v>
      </c>
      <c r="D24" s="91">
        <f t="shared" si="2"/>
        <v>218.05599999999998</v>
      </c>
      <c r="E24" s="116">
        <v>2.9</v>
      </c>
      <c r="F24" s="110">
        <f>E16*(E24/SUM(E17:E27))</f>
        <v>0</v>
      </c>
      <c r="G24" s="117">
        <v>32.5</v>
      </c>
      <c r="H24" s="110">
        <f t="shared" si="0"/>
        <v>0</v>
      </c>
      <c r="I24" s="117">
        <v>42.3</v>
      </c>
      <c r="J24" s="110">
        <f t="shared" si="1"/>
        <v>0</v>
      </c>
      <c r="K24" s="112">
        <v>0</v>
      </c>
      <c r="L24" s="110">
        <f t="shared" si="3"/>
        <v>0</v>
      </c>
      <c r="M24" s="113">
        <f t="shared" si="4"/>
        <v>218.05599999999998</v>
      </c>
      <c r="N24" s="114" t="s">
        <v>71</v>
      </c>
      <c r="O24" s="110">
        <f>IF($M$24&lt;100, ERROR, $M$24)</f>
        <v>218.05599999999998</v>
      </c>
      <c r="P24" s="118"/>
      <c r="Q24" s="122">
        <v>208.24</v>
      </c>
      <c r="R24" s="96"/>
    </row>
    <row r="25" spans="1:18" ht="24.95" customHeight="1" thickBot="1">
      <c r="A25" s="86">
        <v>9</v>
      </c>
      <c r="B25" s="90" t="s">
        <v>9</v>
      </c>
      <c r="C25" s="108">
        <v>0.08</v>
      </c>
      <c r="D25" s="91">
        <f t="shared" si="2"/>
        <v>218.05599999999998</v>
      </c>
      <c r="E25" s="116">
        <v>3.5</v>
      </c>
      <c r="F25" s="110">
        <f>E16*(E25/SUM(E17:E27))</f>
        <v>0</v>
      </c>
      <c r="G25" s="117">
        <v>30.2</v>
      </c>
      <c r="H25" s="110">
        <f t="shared" si="0"/>
        <v>0</v>
      </c>
      <c r="I25" s="117">
        <v>44.6</v>
      </c>
      <c r="J25" s="110">
        <f t="shared" si="1"/>
        <v>0</v>
      </c>
      <c r="K25" s="112">
        <v>0</v>
      </c>
      <c r="L25" s="110">
        <f t="shared" si="3"/>
        <v>0</v>
      </c>
      <c r="M25" s="113">
        <f t="shared" si="4"/>
        <v>218.05599999999998</v>
      </c>
      <c r="N25" s="114" t="s">
        <v>71</v>
      </c>
      <c r="O25" s="110">
        <f>IF($M$25&lt;100, ERROR, $M$25)</f>
        <v>218.05599999999998</v>
      </c>
      <c r="P25" s="118"/>
      <c r="Q25" s="96">
        <v>303.51</v>
      </c>
      <c r="R25" s="96"/>
    </row>
    <row r="26" spans="1:18" ht="24.95" customHeight="1" thickBot="1">
      <c r="A26" s="86">
        <v>10</v>
      </c>
      <c r="B26" s="89" t="s">
        <v>10</v>
      </c>
      <c r="C26" s="108">
        <v>6.5000000000000002E-2</v>
      </c>
      <c r="D26" s="91">
        <f t="shared" si="2"/>
        <v>177.1705</v>
      </c>
      <c r="E26" s="116">
        <v>4.5999999999999996</v>
      </c>
      <c r="F26" s="110">
        <f>E16*(E26/SUM(E17:E27))</f>
        <v>0</v>
      </c>
      <c r="G26" s="117">
        <v>43.9</v>
      </c>
      <c r="H26" s="110">
        <f t="shared" si="0"/>
        <v>0</v>
      </c>
      <c r="I26" s="117">
        <v>65.8</v>
      </c>
      <c r="J26" s="110">
        <f t="shared" si="1"/>
        <v>0</v>
      </c>
      <c r="K26" s="112">
        <v>0</v>
      </c>
      <c r="L26" s="110">
        <f t="shared" si="3"/>
        <v>0</v>
      </c>
      <c r="M26" s="113">
        <f t="shared" si="4"/>
        <v>177.1705</v>
      </c>
      <c r="N26" s="114">
        <v>356</v>
      </c>
      <c r="O26" s="110">
        <f>IF(SUM(M26,M20)=D30,D30,756)</f>
        <v>756</v>
      </c>
      <c r="P26" s="118"/>
      <c r="Q26" s="96">
        <f>55.84+94.93+50.5</f>
        <v>201.27</v>
      </c>
      <c r="R26" s="96"/>
    </row>
    <row r="27" spans="1:18" ht="24.95" customHeight="1" thickBot="1">
      <c r="A27" s="86">
        <v>11</v>
      </c>
      <c r="B27" s="90" t="s">
        <v>11</v>
      </c>
      <c r="C27" s="108">
        <v>3.5000000000000003E-2</v>
      </c>
      <c r="D27" s="91">
        <f t="shared" si="2"/>
        <v>95.399500000000003</v>
      </c>
      <c r="E27" s="116">
        <v>3.5</v>
      </c>
      <c r="F27" s="110">
        <f>E16*(E27/SUM(E17:E27))</f>
        <v>0</v>
      </c>
      <c r="G27" s="111">
        <v>33.4</v>
      </c>
      <c r="H27" s="110">
        <f t="shared" si="0"/>
        <v>0</v>
      </c>
      <c r="I27" s="117">
        <v>36.6</v>
      </c>
      <c r="J27" s="110">
        <f t="shared" si="1"/>
        <v>0</v>
      </c>
      <c r="K27" s="137">
        <v>0.01</v>
      </c>
      <c r="L27" s="110">
        <f t="shared" si="3"/>
        <v>0</v>
      </c>
      <c r="M27" s="113">
        <f t="shared" si="4"/>
        <v>95.399500000000003</v>
      </c>
      <c r="N27" s="114" t="s">
        <v>71</v>
      </c>
      <c r="O27" s="110">
        <f>IF($M$27&gt;110,110,$M$27)</f>
        <v>95.399500000000003</v>
      </c>
      <c r="P27" s="118"/>
      <c r="Q27" s="96">
        <v>33.909999999999997</v>
      </c>
      <c r="R27" s="96"/>
    </row>
    <row r="28" spans="1:18" ht="24.95" customHeight="1">
      <c r="B28" s="123" t="s">
        <v>89</v>
      </c>
      <c r="C28" s="124">
        <f>SUM(C17:C27)</f>
        <v>1</v>
      </c>
      <c r="D28" s="81">
        <f>SUM(D17:D27)</f>
        <v>2725.7000000000003</v>
      </c>
      <c r="M28" s="125">
        <f>SUM(M17:M27)</f>
        <v>2725.7000000000003</v>
      </c>
      <c r="N28" s="126"/>
      <c r="O28" s="126"/>
      <c r="P28" s="127"/>
      <c r="Q28" s="128">
        <f>SUM(Q17:Q27)</f>
        <v>2959.5499999999997</v>
      </c>
    </row>
    <row r="29" spans="1:18" ht="36" customHeight="1">
      <c r="B29" s="129"/>
      <c r="C29" s="130"/>
      <c r="D29" s="130"/>
      <c r="F29" s="130"/>
      <c r="G29" s="130"/>
      <c r="H29" s="130"/>
      <c r="L29" s="131"/>
      <c r="M29" s="132" t="str">
        <f>IF($M$28=$E$12,"ALLOCATION BALANCED","ALLOCATION NOT BALANCED")</f>
        <v>ALLOCATION BALANCED</v>
      </c>
      <c r="N29" s="133"/>
      <c r="O29" s="133"/>
      <c r="P29" s="127"/>
      <c r="Q29" s="96"/>
      <c r="R29" s="96"/>
    </row>
    <row r="30" spans="1:18" ht="20.100000000000001" customHeight="1">
      <c r="B30" s="176" t="s">
        <v>43</v>
      </c>
      <c r="C30" s="177"/>
      <c r="D30" s="134">
        <v>725</v>
      </c>
      <c r="E30" s="178"/>
      <c r="F30" s="179"/>
      <c r="G30" s="179"/>
      <c r="H30" s="179"/>
      <c r="I30" s="179"/>
      <c r="J30" s="179"/>
      <c r="K30" s="180"/>
    </row>
    <row r="31" spans="1:18" ht="20.100000000000001" customHeight="1">
      <c r="B31" s="176" t="s">
        <v>42</v>
      </c>
      <c r="C31" s="177"/>
      <c r="D31" s="135">
        <v>282</v>
      </c>
      <c r="E31" s="178" t="s">
        <v>62</v>
      </c>
      <c r="F31" s="179"/>
      <c r="G31" s="179"/>
      <c r="H31" s="179"/>
      <c r="I31" s="179"/>
      <c r="J31" s="179"/>
      <c r="K31" s="180"/>
    </row>
    <row r="32" spans="1:18" ht="20.100000000000001" customHeight="1">
      <c r="B32" s="176" t="s">
        <v>39</v>
      </c>
      <c r="C32" s="177"/>
      <c r="D32" s="135">
        <v>183</v>
      </c>
      <c r="E32" s="178" t="s">
        <v>63</v>
      </c>
      <c r="F32" s="179"/>
      <c r="G32" s="179"/>
      <c r="H32" s="179"/>
      <c r="I32" s="179"/>
      <c r="J32" s="179"/>
      <c r="K32" s="180"/>
    </row>
    <row r="33" spans="2:14" ht="20.100000000000001" customHeight="1"/>
    <row r="34" spans="2:14" ht="30.75" customHeight="1">
      <c r="B34" s="165" t="s">
        <v>87</v>
      </c>
      <c r="C34" s="165"/>
      <c r="D34" s="73">
        <f>$E$12-$D$28</f>
        <v>0</v>
      </c>
      <c r="F34" s="136"/>
      <c r="G34" s="136"/>
    </row>
    <row r="35" spans="2:14" ht="24.95" customHeight="1">
      <c r="B35" s="165" t="s">
        <v>88</v>
      </c>
      <c r="C35" s="165"/>
      <c r="D35" s="73">
        <f>SUM(E6:E9)</f>
        <v>680.3</v>
      </c>
      <c r="F35" s="136"/>
      <c r="G35" s="136"/>
    </row>
    <row r="36" spans="2:14">
      <c r="N36" s="133"/>
    </row>
    <row r="37" spans="2:14">
      <c r="B37" s="75" t="s">
        <v>95</v>
      </c>
    </row>
    <row r="38" spans="2:14">
      <c r="B38" s="138" t="s">
        <v>94</v>
      </c>
    </row>
    <row r="39" spans="2:14">
      <c r="B39" s="75" t="s">
        <v>98</v>
      </c>
    </row>
    <row r="41" spans="2:14">
      <c r="B41" s="75" t="s">
        <v>96</v>
      </c>
    </row>
    <row r="43" spans="2:14">
      <c r="B43" s="75" t="s">
        <v>97</v>
      </c>
    </row>
  </sheetData>
  <sheetProtection password="EA6B" sheet="1" objects="1" scenarios="1"/>
  <dataConsolidate/>
  <mergeCells count="26">
    <mergeCell ref="F6:L6"/>
    <mergeCell ref="F7:L7"/>
    <mergeCell ref="B6:D6"/>
    <mergeCell ref="B7:D7"/>
    <mergeCell ref="B2:D2"/>
    <mergeCell ref="B3:D3"/>
    <mergeCell ref="M14:M16"/>
    <mergeCell ref="A14:A16"/>
    <mergeCell ref="B14:B16"/>
    <mergeCell ref="C14:C16"/>
    <mergeCell ref="E31:K31"/>
    <mergeCell ref="F8:L8"/>
    <mergeCell ref="F9:L9"/>
    <mergeCell ref="E30:K30"/>
    <mergeCell ref="B8:D8"/>
    <mergeCell ref="B9:D9"/>
    <mergeCell ref="B34:C34"/>
    <mergeCell ref="B35:C35"/>
    <mergeCell ref="C10:D10"/>
    <mergeCell ref="B12:D12"/>
    <mergeCell ref="E14:L14"/>
    <mergeCell ref="D14:D16"/>
    <mergeCell ref="B30:C30"/>
    <mergeCell ref="B31:C31"/>
    <mergeCell ref="B32:C32"/>
    <mergeCell ref="E32:K32"/>
  </mergeCells>
  <conditionalFormatting sqref="E12">
    <cfRule type="cellIs" dxfId="3" priority="4" operator="lessThanOrEqual">
      <formula>3200</formula>
    </cfRule>
  </conditionalFormatting>
  <conditionalFormatting sqref="D34">
    <cfRule type="cellIs" dxfId="2" priority="3" operator="greaterThan">
      <formula>100</formula>
    </cfRule>
  </conditionalFormatting>
  <conditionalFormatting sqref="M29">
    <cfRule type="containsText" dxfId="1" priority="1" operator="containsText" text="ALLOCATION BALANCED">
      <formula>NOT(ISERROR(SEARCH("ALLOCATION BALANCED",M29)))</formula>
    </cfRule>
    <cfRule type="containsText" dxfId="0" priority="2" operator="containsText" text="ALLOCATION NOT BALANCED">
      <formula>NOT(ISERROR(SEARCH("ALLOCATION NOT BALANCED",M29)))</formula>
    </cfRule>
  </conditionalFormatting>
  <dataValidations count="1">
    <dataValidation allowBlank="1" showInputMessage="1" showErrorMessage="1" prompt="Sum of Exempted Loads 1" sqref="E10"/>
  </dataValidations>
  <pageMargins left="0.7" right="0.7" top="0.75" bottom="0.75" header="0.3" footer="0.3"/>
  <pageSetup scale="74" fitToHeight="0" orientation="landscape" r:id="rId1"/>
  <ignoredErrors>
    <ignoredError sqref="F16 J16" formula="1"/>
    <ignoredError sqref="D35" formulaRange="1"/>
    <ignoredError sqref="E10 E12" unlocked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R58"/>
  <sheetViews>
    <sheetView showGridLines="0" zoomScale="85" zoomScaleNormal="85" workbookViewId="0">
      <selection activeCell="N18" sqref="N18"/>
    </sheetView>
  </sheetViews>
  <sheetFormatPr defaultRowHeight="15"/>
  <cols>
    <col min="2" max="3" width="20.7109375" customWidth="1"/>
    <col min="4" max="4" width="13.7109375" customWidth="1"/>
    <col min="5" max="5" width="11.42578125" customWidth="1"/>
    <col min="6" max="6" width="13.7109375" customWidth="1"/>
    <col min="7" max="7" width="10.7109375" customWidth="1"/>
    <col min="8" max="8" width="13.7109375" customWidth="1"/>
    <col min="9" max="9" width="10.7109375" customWidth="1"/>
    <col min="10" max="10" width="13.7109375" customWidth="1"/>
    <col min="11" max="11" width="10.7109375" customWidth="1"/>
    <col min="12" max="12" width="13.7109375" customWidth="1"/>
    <col min="13" max="13" width="10.7109375" customWidth="1"/>
    <col min="14" max="14" width="12.7109375" customWidth="1"/>
    <col min="15" max="16" width="9.140625" customWidth="1"/>
    <col min="19" max="19" width="12.28515625" bestFit="1" customWidth="1"/>
  </cols>
  <sheetData>
    <row r="2" spans="2:10" ht="20.100000000000001" customHeight="1">
      <c r="B2" s="188" t="s">
        <v>49</v>
      </c>
      <c r="C2" s="189"/>
      <c r="D2" s="60">
        <v>3609.6</v>
      </c>
    </row>
    <row r="3" spans="2:10" ht="20.100000000000001" customHeight="1">
      <c r="B3" s="188" t="s">
        <v>14</v>
      </c>
      <c r="C3" s="189"/>
      <c r="D3" s="60">
        <v>5125</v>
      </c>
    </row>
    <row r="4" spans="2:10" ht="20.100000000000001" customHeight="1">
      <c r="B4" s="188" t="s">
        <v>18</v>
      </c>
      <c r="C4" s="189"/>
      <c r="D4" s="61"/>
    </row>
    <row r="5" spans="2:10" ht="20.100000000000001" customHeight="1">
      <c r="B5" s="58"/>
      <c r="C5" s="58"/>
      <c r="D5" s="62"/>
      <c r="E5" s="36" t="s">
        <v>58</v>
      </c>
    </row>
    <row r="6" spans="2:10" ht="20.100000000000001" customHeight="1">
      <c r="B6" s="195" t="s">
        <v>25</v>
      </c>
      <c r="C6" s="195"/>
      <c r="D6" s="63">
        <v>223</v>
      </c>
      <c r="E6" s="192" t="s">
        <v>59</v>
      </c>
      <c r="F6" s="193"/>
      <c r="G6" s="193"/>
      <c r="H6" s="193"/>
      <c r="I6" s="193"/>
      <c r="J6" s="194"/>
    </row>
    <row r="7" spans="2:10" ht="20.100000000000001" customHeight="1">
      <c r="B7" s="195" t="s">
        <v>26</v>
      </c>
      <c r="C7" s="195"/>
      <c r="D7" s="63">
        <v>40</v>
      </c>
      <c r="E7" s="192" t="s">
        <v>60</v>
      </c>
      <c r="F7" s="193"/>
      <c r="G7" s="193"/>
      <c r="H7" s="193"/>
      <c r="I7" s="193"/>
      <c r="J7" s="194"/>
    </row>
    <row r="8" spans="2:10" ht="25.5" customHeight="1">
      <c r="B8" s="195" t="s">
        <v>27</v>
      </c>
      <c r="C8" s="195"/>
      <c r="D8" s="60">
        <v>80</v>
      </c>
      <c r="E8" s="196" t="s">
        <v>68</v>
      </c>
      <c r="F8" s="197"/>
      <c r="G8" s="197"/>
      <c r="H8" s="197"/>
      <c r="I8" s="197"/>
      <c r="J8" s="198"/>
    </row>
    <row r="9" spans="2:10" ht="30.75" customHeight="1">
      <c r="B9" s="195" t="s">
        <v>37</v>
      </c>
      <c r="C9" s="195"/>
      <c r="D9" s="60">
        <v>35</v>
      </c>
      <c r="E9" s="192" t="s">
        <v>61</v>
      </c>
      <c r="F9" s="193"/>
      <c r="G9" s="193"/>
      <c r="H9" s="193"/>
      <c r="I9" s="193"/>
      <c r="J9" s="194"/>
    </row>
    <row r="10" spans="2:10" ht="33" customHeight="1">
      <c r="B10" s="195" t="s">
        <v>43</v>
      </c>
      <c r="C10" s="195"/>
      <c r="D10" s="60">
        <v>530</v>
      </c>
      <c r="E10" s="199" t="s">
        <v>52</v>
      </c>
      <c r="F10" s="200"/>
      <c r="G10" s="200"/>
      <c r="H10" s="200"/>
      <c r="I10" s="200"/>
      <c r="J10" s="201"/>
    </row>
    <row r="11" spans="2:10" ht="20.100000000000001" customHeight="1">
      <c r="B11" s="195" t="s">
        <v>42</v>
      </c>
      <c r="C11" s="195"/>
      <c r="D11" s="60">
        <v>282</v>
      </c>
      <c r="E11" s="192" t="s">
        <v>66</v>
      </c>
      <c r="F11" s="193"/>
      <c r="G11" s="193"/>
      <c r="H11" s="193"/>
      <c r="I11" s="193"/>
      <c r="J11" s="194"/>
    </row>
    <row r="12" spans="2:10" ht="20.100000000000001" customHeight="1">
      <c r="B12" s="195" t="s">
        <v>39</v>
      </c>
      <c r="C12" s="195"/>
      <c r="D12" s="60">
        <v>150</v>
      </c>
      <c r="E12" s="192" t="s">
        <v>69</v>
      </c>
      <c r="F12" s="193"/>
      <c r="G12" s="193"/>
      <c r="H12" s="193"/>
      <c r="I12" s="193"/>
      <c r="J12" s="194"/>
    </row>
    <row r="13" spans="2:10" ht="20.100000000000001" customHeight="1">
      <c r="B13" s="195" t="s">
        <v>40</v>
      </c>
      <c r="C13" s="195"/>
      <c r="D13" s="60">
        <v>10</v>
      </c>
      <c r="E13" s="192" t="s">
        <v>64</v>
      </c>
      <c r="F13" s="193"/>
      <c r="G13" s="193"/>
      <c r="H13" s="193"/>
      <c r="I13" s="193"/>
      <c r="J13" s="194"/>
    </row>
    <row r="14" spans="2:10" ht="20.100000000000001" customHeight="1">
      <c r="B14" s="190" t="s">
        <v>44</v>
      </c>
      <c r="C14" s="191"/>
      <c r="D14" s="60">
        <f>IF(($D$2&lt;3000), " ", 500)</f>
        <v>500</v>
      </c>
      <c r="E14" s="192" t="s">
        <v>65</v>
      </c>
      <c r="F14" s="193"/>
      <c r="G14" s="193"/>
      <c r="H14" s="193"/>
      <c r="I14" s="193"/>
      <c r="J14" s="194"/>
    </row>
    <row r="15" spans="2:10" ht="20.100000000000001" customHeight="1">
      <c r="B15" s="190" t="s">
        <v>45</v>
      </c>
      <c r="C15" s="191"/>
      <c r="D15" s="60">
        <f>IF(($D$2&lt;3000), " ", 400)</f>
        <v>400</v>
      </c>
      <c r="E15" s="192" t="s">
        <v>65</v>
      </c>
      <c r="F15" s="193"/>
      <c r="G15" s="193"/>
      <c r="H15" s="193"/>
      <c r="I15" s="193"/>
      <c r="J15" s="194"/>
    </row>
    <row r="16" spans="2:10" ht="20.100000000000001" customHeight="1">
      <c r="B16" s="190" t="s">
        <v>70</v>
      </c>
      <c r="C16" s="191"/>
      <c r="D16" s="60">
        <v>150</v>
      </c>
      <c r="E16" s="192" t="s">
        <v>65</v>
      </c>
      <c r="F16" s="193"/>
      <c r="G16" s="193"/>
      <c r="H16" s="193"/>
      <c r="I16" s="193"/>
      <c r="J16" s="194"/>
    </row>
    <row r="17" spans="1:17" ht="20.100000000000001" customHeight="1">
      <c r="B17" s="195" t="s">
        <v>41</v>
      </c>
      <c r="C17" s="195"/>
      <c r="D17" s="60">
        <f>IF(($D$2&lt;3000), " ", 200)</f>
        <v>200</v>
      </c>
      <c r="E17" s="192" t="s">
        <v>65</v>
      </c>
      <c r="F17" s="193"/>
      <c r="G17" s="193"/>
      <c r="H17" s="193"/>
      <c r="I17" s="193"/>
      <c r="J17" s="194"/>
    </row>
    <row r="18" spans="1:17" ht="20.100000000000001" customHeight="1">
      <c r="B18" s="195" t="s">
        <v>50</v>
      </c>
      <c r="C18" s="195"/>
      <c r="D18" s="60">
        <f>IF(($D$2&lt;3000), " ", 150)</f>
        <v>150</v>
      </c>
      <c r="E18" s="192" t="s">
        <v>65</v>
      </c>
      <c r="F18" s="193"/>
      <c r="G18" s="193"/>
      <c r="H18" s="193"/>
      <c r="I18" s="193"/>
      <c r="J18" s="194"/>
    </row>
    <row r="19" spans="1:17" ht="20.100000000000001" customHeight="1">
      <c r="B19" s="195" t="s">
        <v>46</v>
      </c>
      <c r="C19" s="195"/>
      <c r="D19" s="60">
        <v>300</v>
      </c>
      <c r="E19" s="192" t="s">
        <v>57</v>
      </c>
      <c r="F19" s="193"/>
      <c r="G19" s="193"/>
      <c r="H19" s="193"/>
      <c r="I19" s="193"/>
      <c r="J19" s="194"/>
    </row>
    <row r="20" spans="1:17" ht="20.100000000000001" customHeight="1">
      <c r="B20" s="11"/>
      <c r="C20" s="59" t="s">
        <v>36</v>
      </c>
      <c r="D20" s="64">
        <f>SUM(D6:D19)</f>
        <v>3050</v>
      </c>
    </row>
    <row r="21" spans="1:17" ht="20.100000000000001" customHeight="1">
      <c r="D21" s="65"/>
    </row>
    <row r="22" spans="1:17" ht="20.100000000000001" customHeight="1">
      <c r="B22" s="188" t="s">
        <v>38</v>
      </c>
      <c r="C22" s="189"/>
      <c r="D22" s="63">
        <f>D2-D20</f>
        <v>559.59999999999991</v>
      </c>
    </row>
    <row r="23" spans="1:17" ht="20.100000000000001" customHeight="1" thickBot="1"/>
    <row r="24" spans="1:17" ht="30" customHeight="1" thickBot="1">
      <c r="A24" s="182" t="s">
        <v>22</v>
      </c>
      <c r="B24" s="182" t="s">
        <v>12</v>
      </c>
      <c r="C24" s="182" t="s">
        <v>67</v>
      </c>
      <c r="D24" s="185" t="s">
        <v>0</v>
      </c>
      <c r="E24" s="186"/>
      <c r="F24" s="186"/>
      <c r="G24" s="186"/>
      <c r="H24" s="186"/>
      <c r="I24" s="186"/>
      <c r="J24" s="186"/>
      <c r="K24" s="186"/>
      <c r="L24" s="186"/>
      <c r="M24" s="187"/>
      <c r="N24" s="182" t="s">
        <v>23</v>
      </c>
    </row>
    <row r="25" spans="1:17" ht="68.25" customHeight="1" thickBot="1">
      <c r="A25" s="183"/>
      <c r="B25" s="183"/>
      <c r="C25" s="183"/>
      <c r="D25" s="13" t="s">
        <v>56</v>
      </c>
      <c r="E25" s="13"/>
      <c r="F25" s="13" t="s">
        <v>47</v>
      </c>
      <c r="G25" s="13"/>
      <c r="H25" s="13" t="s">
        <v>54</v>
      </c>
      <c r="I25" s="13"/>
      <c r="J25" s="13" t="s">
        <v>48</v>
      </c>
      <c r="K25" s="13"/>
      <c r="L25" s="13" t="s">
        <v>55</v>
      </c>
      <c r="M25" s="13"/>
      <c r="N25" s="183"/>
    </row>
    <row r="26" spans="1:17" ht="19.5" customHeight="1" thickBot="1">
      <c r="A26" s="184"/>
      <c r="B26" s="184"/>
      <c r="C26" s="184"/>
      <c r="D26" s="66">
        <f>$C$41*40%</f>
        <v>156.68799999999999</v>
      </c>
      <c r="E26" s="66">
        <f>IF((SUM(All_LRF)=D26),D26,"ERROR IN REMAINDER")</f>
        <v>156.68799999999999</v>
      </c>
      <c r="F26" s="66">
        <f>$C$41*30%</f>
        <v>117.51599999999996</v>
      </c>
      <c r="G26" s="66">
        <f>IF((SUM(All_Based_Metering)=F26),F26,"ERROR IN REMAINDER")</f>
        <v>117.51599999999996</v>
      </c>
      <c r="H26" s="66">
        <f>$C$41*20%</f>
        <v>78.343999999999994</v>
      </c>
      <c r="I26" s="66">
        <f>IF((SUM(All_Based_NtwkExpsn)=H26),H26,"ERROR IN REMAINDER")</f>
        <v>78.343999999999994</v>
      </c>
      <c r="J26" s="66">
        <f>SUM(J27:J37)</f>
        <v>0</v>
      </c>
      <c r="K26" s="66" t="e">
        <f>IF((SUM(K27:K37)=H26),H26,"ERROR IN REMAINDER")</f>
        <v>#DIV/0!</v>
      </c>
      <c r="L26" s="66">
        <f>$C$41*10%</f>
        <v>39.171999999999997</v>
      </c>
      <c r="M26" s="13"/>
      <c r="N26" s="184"/>
    </row>
    <row r="27" spans="1:17" ht="24.95" customHeight="1" thickBot="1">
      <c r="A27" s="6">
        <v>1</v>
      </c>
      <c r="B27" s="5" t="s">
        <v>1</v>
      </c>
      <c r="C27" s="16">
        <f>(0%*$D$22)</f>
        <v>0</v>
      </c>
      <c r="D27" s="51">
        <v>4.5999999999999996</v>
      </c>
      <c r="E27" s="39">
        <f>$D26*($D27/SUM($D27:$D37))</f>
        <v>16.68437037037037</v>
      </c>
      <c r="F27" s="51">
        <v>4.3099999999999996</v>
      </c>
      <c r="G27" s="39">
        <f>$F$26*($F$27/SUM($F$27:$F$37))</f>
        <v>11.610620310231523</v>
      </c>
      <c r="H27" s="51">
        <v>2.73</v>
      </c>
      <c r="I27" s="39">
        <f>$H$26*($H$27/SUM($H$27:$H$37))</f>
        <v>6.3901738870630416</v>
      </c>
      <c r="J27" s="51"/>
      <c r="K27" s="39" t="e">
        <f>$H$26*($J$27/SUM($J$27:$J$37))</f>
        <v>#DIV/0!</v>
      </c>
      <c r="L27" s="55">
        <v>1605</v>
      </c>
      <c r="M27" s="39">
        <f>$L$26*($L27/SUM($L$27:$L$37))</f>
        <v>3.6146711664836459</v>
      </c>
      <c r="N27" s="44">
        <f>SUM($C27,$E27,$G27,$I27,$M27)</f>
        <v>38.29983573414858</v>
      </c>
      <c r="O27" s="20"/>
      <c r="P27" s="20"/>
      <c r="Q27" s="21"/>
    </row>
    <row r="28" spans="1:17" ht="24.95" customHeight="1" thickBot="1">
      <c r="A28" s="2">
        <v>2</v>
      </c>
      <c r="B28" s="12" t="s">
        <v>2</v>
      </c>
      <c r="C28" s="16">
        <f>(0%*$D$22)</f>
        <v>0</v>
      </c>
      <c r="D28" s="52">
        <v>3.9</v>
      </c>
      <c r="E28" s="39">
        <f>D26*(D28/SUM(D27:D37))</f>
        <v>14.145444444444445</v>
      </c>
      <c r="F28" s="52">
        <v>3.9666666666666668</v>
      </c>
      <c r="G28" s="39">
        <f>$F$26*($F$28/SUM($F$27:$F$37))</f>
        <v>10.685721708565749</v>
      </c>
      <c r="H28" s="52">
        <v>3.1</v>
      </c>
      <c r="I28" s="39">
        <f>$H$26*($H$28/SUM($H$27:$H$37))</f>
        <v>7.2562414102181059</v>
      </c>
      <c r="J28" s="51"/>
      <c r="K28" s="39" t="e">
        <f>$H$26*($J$28/SUM($J$27:$J$37))</f>
        <v>#DIV/0!</v>
      </c>
      <c r="L28" s="55">
        <v>1662</v>
      </c>
      <c r="M28" s="39">
        <f t="shared" ref="M28:M37" si="0">$L$26*($L28/SUM($L$27:$L$37))</f>
        <v>3.7430426658540932</v>
      </c>
      <c r="N28" s="44">
        <f t="shared" ref="N28:N37" si="1">SUM($C28,$E28,$G28,$I28,$M28)</f>
        <v>35.830450229082388</v>
      </c>
      <c r="O28" s="20"/>
      <c r="P28" s="20"/>
      <c r="Q28" s="21"/>
    </row>
    <row r="29" spans="1:17" ht="24.95" customHeight="1" thickBot="1">
      <c r="A29" s="2">
        <v>3</v>
      </c>
      <c r="B29" s="1" t="s">
        <v>3</v>
      </c>
      <c r="C29" s="16">
        <f>IF($D$20&gt;10, (0%*$D$22), (5%*$D$22))</f>
        <v>0</v>
      </c>
      <c r="D29" s="52">
        <v>5.2</v>
      </c>
      <c r="E29" s="39">
        <f>D26*(D29/SUM(D27:D37))</f>
        <v>18.860592592592596</v>
      </c>
      <c r="F29" s="52">
        <v>4.9433333333333342</v>
      </c>
      <c r="G29" s="39">
        <f>$F$26*($F$29/SUM($F$27:$F$37))</f>
        <v>13.316743944372275</v>
      </c>
      <c r="H29" s="52">
        <v>3.43</v>
      </c>
      <c r="I29" s="39">
        <f>$H$26*($H$29/SUM($H$27:$H$37))</f>
        <v>8.0286800119509998</v>
      </c>
      <c r="J29" s="51"/>
      <c r="K29" s="39" t="e">
        <f>$H$26*($J$29/SUM($J$27:$J$37))</f>
        <v>#DIV/0!</v>
      </c>
      <c r="L29" s="55">
        <v>1637</v>
      </c>
      <c r="M29" s="39">
        <f t="shared" si="0"/>
        <v>3.6867393766565284</v>
      </c>
      <c r="N29" s="44">
        <f t="shared" si="1"/>
        <v>43.892755925572395</v>
      </c>
      <c r="O29" s="20"/>
      <c r="P29" s="20"/>
      <c r="Q29" s="21"/>
    </row>
    <row r="30" spans="1:17" ht="24.95" customHeight="1" thickBot="1">
      <c r="A30" s="2">
        <v>4</v>
      </c>
      <c r="B30" s="4" t="s">
        <v>5</v>
      </c>
      <c r="C30" s="16">
        <f>(0%*$D$22)</f>
        <v>0</v>
      </c>
      <c r="D30" s="52">
        <v>3</v>
      </c>
      <c r="E30" s="39">
        <f>D26*(D30/SUM(D27:D37))</f>
        <v>10.88111111111111</v>
      </c>
      <c r="F30" s="52">
        <v>3.2133333333333334</v>
      </c>
      <c r="G30" s="39">
        <f>$F$26*($F$30/SUM($F$27:$F$37))</f>
        <v>8.6563325437456982</v>
      </c>
      <c r="H30" s="52">
        <v>2.64</v>
      </c>
      <c r="I30" s="39">
        <f>$H$26*($H$30/SUM($H$27:$H$37))</f>
        <v>6.1795088138631611</v>
      </c>
      <c r="J30" s="51"/>
      <c r="K30" s="39" t="e">
        <f>$H$26*($J$30/SUM($J$27:$J$37))</f>
        <v>#DIV/0!</v>
      </c>
      <c r="L30" s="55">
        <v>1684</v>
      </c>
      <c r="M30" s="39">
        <f t="shared" si="0"/>
        <v>3.7925895603479503</v>
      </c>
      <c r="N30" s="44">
        <f t="shared" si="1"/>
        <v>29.509542029067919</v>
      </c>
      <c r="O30" s="20"/>
      <c r="P30" s="20"/>
      <c r="Q30" s="21"/>
    </row>
    <row r="31" spans="1:17" ht="24.95" customHeight="1" thickBot="1">
      <c r="A31" s="2">
        <v>5</v>
      </c>
      <c r="B31" s="3" t="s">
        <v>6</v>
      </c>
      <c r="C31" s="16">
        <f>(10%*$D$22)</f>
        <v>55.959999999999994</v>
      </c>
      <c r="D31" s="52">
        <v>4.0999999999999996</v>
      </c>
      <c r="E31" s="39">
        <f>D26*(D31/SUM(D27:D37))</f>
        <v>14.870851851851851</v>
      </c>
      <c r="F31" s="52">
        <v>4.0366666666666662</v>
      </c>
      <c r="G31" s="39">
        <f>$F$26*($F$31/SUM($F$27:$F$37))</f>
        <v>10.874293268128671</v>
      </c>
      <c r="H31" s="52">
        <v>2.91</v>
      </c>
      <c r="I31" s="39">
        <f>$H$26*($H$31/SUM($H$27:$H$37))</f>
        <v>6.8115040334628025</v>
      </c>
      <c r="J31" s="51"/>
      <c r="K31" s="39" t="e">
        <f>$H$26*($J$31/SUM($J$27:$J$37))</f>
        <v>#DIV/0!</v>
      </c>
      <c r="L31" s="55">
        <v>1602</v>
      </c>
      <c r="M31" s="39">
        <f t="shared" si="0"/>
        <v>3.6079147717799378</v>
      </c>
      <c r="N31" s="44">
        <f t="shared" si="1"/>
        <v>92.124563925223242</v>
      </c>
      <c r="O31" s="20"/>
      <c r="P31" s="20"/>
      <c r="Q31" s="21"/>
    </row>
    <row r="32" spans="1:17" ht="24.95" customHeight="1" thickBot="1">
      <c r="A32" s="2">
        <v>6</v>
      </c>
      <c r="B32" s="1" t="s">
        <v>4</v>
      </c>
      <c r="C32" s="16">
        <f>IF($D$14&gt;10, (0%*$D$22), (5%*$D$22))</f>
        <v>0</v>
      </c>
      <c r="D32" s="52">
        <v>3.5</v>
      </c>
      <c r="E32" s="39">
        <f>D26*(D32/SUM(D27:D37))</f>
        <v>12.694629629629631</v>
      </c>
      <c r="F32" s="51">
        <v>3.6766666666666663</v>
      </c>
      <c r="G32" s="39">
        <f>$F$26*($F$32/SUM($F$27:$F$37))</f>
        <v>9.9044966760907727</v>
      </c>
      <c r="H32" s="52">
        <v>3.03</v>
      </c>
      <c r="I32" s="39">
        <f>$H$26*($H$32/SUM($H$27:$H$37))</f>
        <v>7.0923907977293092</v>
      </c>
      <c r="J32" s="51"/>
      <c r="K32" s="39" t="e">
        <f>$H$26*($J$32/SUM($J$27:$J$37))</f>
        <v>#DIV/0!</v>
      </c>
      <c r="L32" s="55">
        <v>1593.5</v>
      </c>
      <c r="M32" s="39">
        <f t="shared" si="0"/>
        <v>3.5887716534527665</v>
      </c>
      <c r="N32" s="44">
        <f t="shared" si="1"/>
        <v>33.280288756902479</v>
      </c>
      <c r="O32" s="20"/>
      <c r="P32" s="20"/>
      <c r="Q32" s="21"/>
    </row>
    <row r="33" spans="1:18" ht="24.95" customHeight="1" thickBot="1">
      <c r="A33" s="2">
        <v>7</v>
      </c>
      <c r="B33" s="3" t="s">
        <v>7</v>
      </c>
      <c r="C33" s="16">
        <f>(10%*$D$22)</f>
        <v>55.959999999999994</v>
      </c>
      <c r="D33" s="52">
        <v>3.6</v>
      </c>
      <c r="E33" s="39">
        <f>D26*(D33/SUM(D27:D37))</f>
        <v>13.057333333333334</v>
      </c>
      <c r="F33" s="52">
        <v>3.8833333333333333</v>
      </c>
      <c r="G33" s="39">
        <f>$F$26*($F$33/SUM($F$27:$F$37))</f>
        <v>10.461231756705123</v>
      </c>
      <c r="H33" s="52">
        <v>3.45</v>
      </c>
      <c r="I33" s="39">
        <f>$H$26*($H$33/SUM($H$27:$H$37))</f>
        <v>8.0754944726620863</v>
      </c>
      <c r="J33" s="51"/>
      <c r="K33" s="39" t="e">
        <f>$H$26*($J$33/SUM($J$27:$J$37))</f>
        <v>#DIV/0!</v>
      </c>
      <c r="L33" s="55">
        <v>1692</v>
      </c>
      <c r="M33" s="39">
        <f t="shared" si="0"/>
        <v>3.8106066128911706</v>
      </c>
      <c r="N33" s="44">
        <f t="shared" si="1"/>
        <v>91.364666175591708</v>
      </c>
      <c r="O33" s="20"/>
      <c r="P33" s="20"/>
      <c r="Q33" s="21"/>
    </row>
    <row r="34" spans="1:18" ht="24.95" customHeight="1" thickBot="1">
      <c r="A34" s="2">
        <v>8</v>
      </c>
      <c r="B34" s="3" t="s">
        <v>8</v>
      </c>
      <c r="C34" s="16">
        <f>IF(D18&gt;10, (0%*$D$22), (5%*$D$22))</f>
        <v>0</v>
      </c>
      <c r="D34" s="52">
        <v>2.9</v>
      </c>
      <c r="E34" s="39">
        <f>D26*(D34/SUM(D27:D37))</f>
        <v>10.518407407407407</v>
      </c>
      <c r="F34" s="52">
        <v>3.24</v>
      </c>
      <c r="G34" s="39">
        <f>$F$26*($F$34/SUM($F$27:$F$37))</f>
        <v>8.7281693283410995</v>
      </c>
      <c r="H34" s="52">
        <v>2.92</v>
      </c>
      <c r="I34" s="39">
        <f>$H$26*($H$34/SUM($H$27:$H$37))</f>
        <v>6.8349112638183449</v>
      </c>
      <c r="J34" s="51"/>
      <c r="K34" s="39" t="e">
        <f>$H$26*($J$34/SUM($J$27:$J$37))</f>
        <v>#DIV/0!</v>
      </c>
      <c r="L34" s="55">
        <v>1366.9</v>
      </c>
      <c r="M34" s="39">
        <f t="shared" si="0"/>
        <v>3.0784386401660413</v>
      </c>
      <c r="N34" s="44">
        <f t="shared" si="1"/>
        <v>29.159926639732891</v>
      </c>
      <c r="O34" s="20"/>
      <c r="P34" s="20"/>
      <c r="Q34" s="21"/>
    </row>
    <row r="35" spans="1:18" ht="24.95" customHeight="1" thickBot="1">
      <c r="A35" s="2">
        <v>9</v>
      </c>
      <c r="B35" s="3" t="s">
        <v>9</v>
      </c>
      <c r="C35" s="16">
        <f>(0%*$D$22)</f>
        <v>0</v>
      </c>
      <c r="D35" s="52">
        <v>4.3</v>
      </c>
      <c r="E35" s="39">
        <f>D26*(D35/SUM(D27:D37))</f>
        <v>15.596259259259259</v>
      </c>
      <c r="F35" s="52">
        <v>4.29</v>
      </c>
      <c r="G35" s="39">
        <f>$F$26*($F$35/SUM($F$27:$F$37))</f>
        <v>11.556742721784973</v>
      </c>
      <c r="H35" s="52">
        <v>3.27</v>
      </c>
      <c r="I35" s="39">
        <f>$H$26*($H$35/SUM($H$27:$H$37))</f>
        <v>7.6541643262623236</v>
      </c>
      <c r="J35" s="51"/>
      <c r="K35" s="39" t="e">
        <f>$H$26*($J$35/SUM($J$27:$J$37))</f>
        <v>#DIV/0!</v>
      </c>
      <c r="L35" s="55">
        <v>1403.6</v>
      </c>
      <c r="M35" s="39">
        <f t="shared" si="0"/>
        <v>3.1610918687080658</v>
      </c>
      <c r="N35" s="44">
        <f t="shared" si="1"/>
        <v>37.968258176014622</v>
      </c>
      <c r="O35" s="20"/>
      <c r="P35" s="20"/>
      <c r="Q35" s="21"/>
    </row>
    <row r="36" spans="1:18" ht="24.95" customHeight="1" thickBot="1">
      <c r="A36" s="2">
        <v>10</v>
      </c>
      <c r="B36" s="4" t="s">
        <v>10</v>
      </c>
      <c r="C36" s="16">
        <f>(0%*$D$22)</f>
        <v>0</v>
      </c>
      <c r="D36" s="52">
        <v>3.7</v>
      </c>
      <c r="E36" s="39">
        <f>D26*(D36/SUM(D27:D37))</f>
        <v>13.420037037037037</v>
      </c>
      <c r="F36" s="52">
        <v>3.7433333333333336</v>
      </c>
      <c r="G36" s="39">
        <f>$F$26*($F$36/SUM($F$27:$F$37))</f>
        <v>10.084088637579276</v>
      </c>
      <c r="H36" s="52">
        <v>2.83</v>
      </c>
      <c r="I36" s="39">
        <f>$H$26*($H$36/SUM($H$27:$H$37))</f>
        <v>6.6242461906184635</v>
      </c>
      <c r="J36" s="51"/>
      <c r="K36" s="39" t="e">
        <f>$H$26*($J$36/SUM($J$27:$J$37))</f>
        <v>#DIV/0!</v>
      </c>
      <c r="L36" s="55">
        <v>1640.3</v>
      </c>
      <c r="M36" s="39">
        <f t="shared" si="0"/>
        <v>3.6941714108306067</v>
      </c>
      <c r="N36" s="44">
        <f t="shared" si="1"/>
        <v>33.822543276065382</v>
      </c>
      <c r="O36" s="20"/>
      <c r="P36" s="20"/>
      <c r="Q36" s="21"/>
    </row>
    <row r="37" spans="1:18" ht="24.95" customHeight="1" thickBot="1">
      <c r="A37" s="2">
        <v>11</v>
      </c>
      <c r="B37" s="69" t="s">
        <v>11</v>
      </c>
      <c r="C37" s="16">
        <f>(10%*$D$22)</f>
        <v>55.959999999999994</v>
      </c>
      <c r="D37" s="52">
        <v>4.4000000000000004</v>
      </c>
      <c r="E37" s="39">
        <f>D26*(D37/SUM(D27:D37))</f>
        <v>15.958962962962966</v>
      </c>
      <c r="F37" s="51">
        <v>4.32</v>
      </c>
      <c r="G37" s="39">
        <f>$F$26*($F$37/SUM($F$27:$F$37))</f>
        <v>11.637559104454798</v>
      </c>
      <c r="H37" s="52">
        <v>3.16</v>
      </c>
      <c r="I37" s="39">
        <f>$H$26*($H$37/SUM($H$27:$H$37))</f>
        <v>7.3966847923513601</v>
      </c>
      <c r="J37" s="51"/>
      <c r="K37" s="39" t="e">
        <f>$H$26*($J$37/SUM($J$27:$J$37))</f>
        <v>#DIV/0!</v>
      </c>
      <c r="L37" s="55">
        <v>1507</v>
      </c>
      <c r="M37" s="39">
        <f t="shared" si="0"/>
        <v>3.3939622728291927</v>
      </c>
      <c r="N37" s="44">
        <f t="shared" si="1"/>
        <v>94.347169132598324</v>
      </c>
      <c r="O37" s="20"/>
      <c r="P37" s="20"/>
      <c r="Q37" s="21"/>
    </row>
    <row r="38" spans="1:18" ht="30" customHeight="1">
      <c r="B38" s="68" t="str">
        <f xml:space="preserve"> "55% OF CAPACITY FOR ALLOCATION"</f>
        <v>55% OF CAPACITY FOR ALLOCATION</v>
      </c>
      <c r="C38" s="70">
        <f>SUM(C27:C37)</f>
        <v>167.88</v>
      </c>
      <c r="M38" s="36"/>
      <c r="N38" s="67">
        <f>SUM(N27:N37)</f>
        <v>559.59999999999991</v>
      </c>
      <c r="O38" s="20"/>
      <c r="P38" s="20"/>
    </row>
    <row r="39" spans="1:18" ht="30" customHeight="1">
      <c r="B39" s="68" t="s">
        <v>53</v>
      </c>
      <c r="C39" s="70">
        <f>((C38/D2)*100)</f>
        <v>4.6509308510638299</v>
      </c>
      <c r="E39" s="38"/>
      <c r="I39" s="43"/>
      <c r="N39" s="57" t="str">
        <f>IF(N38=(D2-D20),"ALLOCATION BALANCED","ALLOCATION NOT BALANCED")</f>
        <v>ALLOCATION BALANCED</v>
      </c>
      <c r="O39" s="20"/>
      <c r="P39" s="20"/>
    </row>
    <row r="40" spans="1:18" ht="30" customHeight="1">
      <c r="B40" s="30"/>
      <c r="C40" s="23"/>
      <c r="E40" s="38"/>
      <c r="I40" s="43"/>
      <c r="L40" s="72"/>
      <c r="N40" s="57"/>
      <c r="O40" s="20"/>
      <c r="P40" s="20"/>
    </row>
    <row r="41" spans="1:18" ht="30" customHeight="1">
      <c r="B41" s="59" t="s">
        <v>32</v>
      </c>
      <c r="C41" s="71">
        <f>D22-C38</f>
        <v>391.71999999999991</v>
      </c>
      <c r="E41" s="41"/>
    </row>
    <row r="42" spans="1:18" ht="30" customHeight="1">
      <c r="B42" s="30"/>
      <c r="C42" s="23"/>
      <c r="E42" s="41"/>
    </row>
    <row r="44" spans="1:18" ht="61.5" hidden="1" customHeight="1">
      <c r="E44" s="41"/>
      <c r="K44" s="31" t="s">
        <v>33</v>
      </c>
      <c r="L44" s="31" t="s">
        <v>34</v>
      </c>
      <c r="M44" s="31"/>
      <c r="N44" s="31" t="s">
        <v>35</v>
      </c>
      <c r="O44" s="31"/>
      <c r="P44" s="31" t="s">
        <v>21</v>
      </c>
    </row>
    <row r="45" spans="1:18" hidden="1">
      <c r="D45">
        <v>1.2</v>
      </c>
      <c r="E45" s="42"/>
      <c r="F45" s="21">
        <f t="shared" ref="F45:F55" si="2">F27/100</f>
        <v>4.3099999999999999E-2</v>
      </c>
      <c r="G45" s="21"/>
      <c r="H45">
        <v>0.61</v>
      </c>
      <c r="J45" s="21">
        <v>0.1014712081438757</v>
      </c>
      <c r="K45" s="21">
        <f>J45*C41</f>
        <v>39.748301654118976</v>
      </c>
      <c r="L45" s="21" t="e">
        <f>(J45*#REF!)</f>
        <v>#REF!</v>
      </c>
      <c r="M45" s="21"/>
      <c r="N45" s="21">
        <f>(D45*F45*H45*J45*C41)</f>
        <v>1.2540271185461305</v>
      </c>
      <c r="O45">
        <f>(N45/C41)*100</f>
        <v>0.32013354399727634</v>
      </c>
      <c r="P45" s="21" t="e">
        <f>(D45*F45*H45*J45*#REF!)</f>
        <v>#REF!</v>
      </c>
      <c r="R45" s="21">
        <f t="shared" ref="R45:R55" si="3">C27+N45</f>
        <v>1.2540271185461305</v>
      </c>
    </row>
    <row r="46" spans="1:18" hidden="1">
      <c r="D46">
        <v>0.8</v>
      </c>
      <c r="E46" s="42"/>
      <c r="F46" s="21">
        <f t="shared" si="2"/>
        <v>3.966666666666667E-2</v>
      </c>
      <c r="G46" s="21"/>
      <c r="H46">
        <v>0.64</v>
      </c>
      <c r="J46" s="21">
        <v>0.1368211895978006</v>
      </c>
      <c r="K46" s="21">
        <f>J46*C41</f>
        <v>53.595596389250439</v>
      </c>
      <c r="L46" s="21" t="e">
        <f>(J46*#REF!)</f>
        <v>#REF!</v>
      </c>
      <c r="M46" s="21"/>
      <c r="N46" s="21">
        <f>(D46*F46*H46*J46*C41)</f>
        <v>1.0884908322680837</v>
      </c>
      <c r="O46">
        <f>(N46/C41)*100</f>
        <v>0.27787471466049318</v>
      </c>
      <c r="P46" s="21" t="e">
        <f>(D46*F46*H46*J46*#REF!)</f>
        <v>#REF!</v>
      </c>
      <c r="R46" s="21">
        <f t="shared" si="3"/>
        <v>1.0884908322680837</v>
      </c>
    </row>
    <row r="47" spans="1:18" hidden="1">
      <c r="D47">
        <v>1.1000000000000001</v>
      </c>
      <c r="E47" s="42"/>
      <c r="F47" s="21">
        <f t="shared" si="2"/>
        <v>4.9433333333333343E-2</v>
      </c>
      <c r="G47" s="21"/>
      <c r="H47">
        <v>0.79</v>
      </c>
      <c r="J47" s="21">
        <v>6.1712665445189899E-2</v>
      </c>
      <c r="K47" s="21">
        <f>J47*C41</f>
        <v>24.174085308189781</v>
      </c>
      <c r="L47" s="21" t="e">
        <f>(J47*#REF!)</f>
        <v>#REF!</v>
      </c>
      <c r="M47" s="21"/>
      <c r="N47" s="21">
        <f>(D47*F47*H47*J47*C41)</f>
        <v>1.0384598812322503</v>
      </c>
      <c r="O47">
        <f>(N47/C41)*100</f>
        <v>0.26510259400394431</v>
      </c>
      <c r="P47" s="21" t="e">
        <f>(D47*F47*H47*J47*#REF!)</f>
        <v>#REF!</v>
      </c>
      <c r="R47" s="21">
        <f t="shared" si="3"/>
        <v>1.0384598812322503</v>
      </c>
    </row>
    <row r="48" spans="1:18" hidden="1">
      <c r="D48">
        <v>0.9</v>
      </c>
      <c r="E48" s="42"/>
      <c r="F48" s="21">
        <f t="shared" si="2"/>
        <v>3.2133333333333333E-2</v>
      </c>
      <c r="G48" s="21"/>
      <c r="H48">
        <v>0.56999999999999995</v>
      </c>
      <c r="J48" s="21">
        <v>0.10287126482934227</v>
      </c>
      <c r="K48" s="21">
        <f>J48*C41</f>
        <v>40.29673185894994</v>
      </c>
      <c r="L48" s="21" t="e">
        <f>(J48*#REF!)</f>
        <v>#REF!</v>
      </c>
      <c r="M48" s="21"/>
      <c r="N48" s="21">
        <f>(D48*F48*H48*J48*C41)</f>
        <v>0.66426744665567439</v>
      </c>
      <c r="O48">
        <f>(N48/C41)*100</f>
        <v>0.16957710779528096</v>
      </c>
      <c r="P48" s="21" t="e">
        <f>(D48*F48*H48*J48*#REF!)</f>
        <v>#REF!</v>
      </c>
      <c r="R48" s="21">
        <f t="shared" si="3"/>
        <v>0.66426744665567439</v>
      </c>
    </row>
    <row r="49" spans="4:18" hidden="1">
      <c r="D49" s="27">
        <v>1</v>
      </c>
      <c r="E49" s="42"/>
      <c r="F49" s="21">
        <f t="shared" si="2"/>
        <v>4.0366666666666662E-2</v>
      </c>
      <c r="G49" s="21"/>
      <c r="H49" s="21">
        <v>0.6</v>
      </c>
      <c r="I49" s="21"/>
      <c r="J49" s="21">
        <v>0.1839097187171459</v>
      </c>
      <c r="K49" s="21">
        <f>J49*C41</f>
        <v>72.041115015880379</v>
      </c>
      <c r="L49" s="21" t="e">
        <f>(J49*#REF!)</f>
        <v>#REF!</v>
      </c>
      <c r="M49" s="21"/>
      <c r="N49" s="21">
        <f>(D49*F49*H49*J49*C41)</f>
        <v>1.7448358056846223</v>
      </c>
      <c r="O49">
        <f>(N49/C41)*100</f>
        <v>0.44542933873292728</v>
      </c>
      <c r="P49" s="21" t="e">
        <f>(D49*F49*H49*J49*#REF!)</f>
        <v>#REF!</v>
      </c>
      <c r="R49" s="21">
        <f t="shared" si="3"/>
        <v>57.704835805684617</v>
      </c>
    </row>
    <row r="50" spans="4:18" hidden="1">
      <c r="D50">
        <v>0.9</v>
      </c>
      <c r="E50" s="42"/>
      <c r="F50" s="21">
        <f t="shared" si="2"/>
        <v>3.6766666666666663E-2</v>
      </c>
      <c r="G50" s="21"/>
      <c r="H50">
        <v>0.74</v>
      </c>
      <c r="J50" s="21">
        <v>9.2826710019603464E-2</v>
      </c>
      <c r="K50" s="21">
        <f>J50*C41</f>
        <v>36.362078848879058</v>
      </c>
      <c r="L50" s="21" t="e">
        <f>(J50*#REF!)</f>
        <v>#REF!</v>
      </c>
      <c r="M50" s="21"/>
      <c r="N50" s="21">
        <f>(D50*F50*H50*J50*C41)</f>
        <v>0.8903836799409619</v>
      </c>
      <c r="O50">
        <f>(N50/C41)*100</f>
        <v>0.2273010517566022</v>
      </c>
      <c r="P50" s="21" t="e">
        <f>(D50*F50*H50*J50*#REF!)</f>
        <v>#REF!</v>
      </c>
      <c r="R50" s="21">
        <f t="shared" si="3"/>
        <v>0.8903836799409619</v>
      </c>
    </row>
    <row r="51" spans="4:18" hidden="1">
      <c r="D51">
        <v>0.9</v>
      </c>
      <c r="F51" s="21">
        <f t="shared" si="2"/>
        <v>3.8833333333333331E-2</v>
      </c>
      <c r="G51" s="21"/>
      <c r="H51">
        <v>0.76</v>
      </c>
      <c r="J51" s="21">
        <v>6.8912002776524761E-2</v>
      </c>
      <c r="K51" s="21">
        <f>J51*C41</f>
        <v>26.994209727620273</v>
      </c>
      <c r="L51" s="21" t="e">
        <f>(J51*#REF!)</f>
        <v>#REF!</v>
      </c>
      <c r="M51" s="21"/>
      <c r="N51" s="21">
        <f>(D51*F51*H51*J51*C41)</f>
        <v>0.71702019878504974</v>
      </c>
      <c r="O51">
        <f>(N51/C41)*100</f>
        <v>0.18304406177500507</v>
      </c>
      <c r="P51" s="21" t="e">
        <f>(D51*F51*H51*J51*#REF!)</f>
        <v>#REF!</v>
      </c>
      <c r="R51" s="21">
        <f t="shared" si="3"/>
        <v>56.677020198785044</v>
      </c>
    </row>
    <row r="52" spans="4:18" hidden="1">
      <c r="D52">
        <v>0.6</v>
      </c>
      <c r="F52" s="21">
        <f t="shared" si="2"/>
        <v>3.2400000000000005E-2</v>
      </c>
      <c r="G52" s="21"/>
      <c r="H52">
        <v>0.52</v>
      </c>
      <c r="J52" s="21">
        <v>6.6361928912677226E-2</v>
      </c>
      <c r="K52" s="21">
        <f>J52*C41</f>
        <v>25.995294793673917</v>
      </c>
      <c r="L52" s="21" t="e">
        <f>(J52*#REF!)</f>
        <v>#REF!</v>
      </c>
      <c r="M52" s="21"/>
      <c r="N52" s="21">
        <f>(D52*F52*H52*J52*C41)</f>
        <v>0.26278123601029091</v>
      </c>
      <c r="O52">
        <f>(N52/C41)*100</f>
        <v>6.7083946699247166E-2</v>
      </c>
      <c r="P52" s="21" t="e">
        <f>(D52*F52*H52*J52*#REF!)</f>
        <v>#REF!</v>
      </c>
      <c r="R52" s="21">
        <f t="shared" si="3"/>
        <v>0.26278123601029091</v>
      </c>
    </row>
    <row r="53" spans="4:18" hidden="1">
      <c r="D53">
        <v>0.6</v>
      </c>
      <c r="F53" s="21">
        <f t="shared" si="2"/>
        <v>4.2900000000000001E-2</v>
      </c>
      <c r="G53" s="21"/>
      <c r="H53">
        <v>0.55000000000000004</v>
      </c>
      <c r="J53" s="21">
        <v>6.6475431776985935E-2</v>
      </c>
      <c r="K53" s="21">
        <f>J53*C41</f>
        <v>26.039756135680925</v>
      </c>
      <c r="L53" s="21" t="e">
        <f>(J53*#REF!)</f>
        <v>#REF!</v>
      </c>
      <c r="M53" s="21"/>
      <c r="N53" s="21">
        <f>(D53*F53*H53*J53*C41)</f>
        <v>0.3686448276128349</v>
      </c>
      <c r="O53">
        <f>(N53/C41)*100</f>
        <v>9.4109268766678994E-2</v>
      </c>
      <c r="P53" s="21" t="e">
        <f>(D53*F53*H53*J53*#REF!)</f>
        <v>#REF!</v>
      </c>
      <c r="R53" s="21">
        <f t="shared" si="3"/>
        <v>0.3686448276128349</v>
      </c>
    </row>
    <row r="54" spans="4:18" hidden="1">
      <c r="D54">
        <v>0.5</v>
      </c>
      <c r="F54" s="21">
        <f t="shared" si="2"/>
        <v>3.7433333333333339E-2</v>
      </c>
      <c r="G54" s="21"/>
      <c r="H54">
        <v>0.46</v>
      </c>
      <c r="J54" s="21">
        <v>5.7513517778311832E-2</v>
      </c>
      <c r="K54" s="21">
        <f>J54*C41</f>
        <v>22.529195184120304</v>
      </c>
      <c r="L54" s="21" t="e">
        <f>(J54*#REF!)</f>
        <v>#REF!</v>
      </c>
      <c r="M54" s="21"/>
      <c r="N54" s="21">
        <f>(D54*F54*H54*J54*C41)</f>
        <v>0.19396886080354783</v>
      </c>
      <c r="O54">
        <f>(N54/C41)*100</f>
        <v>4.9517221689867219E-2</v>
      </c>
      <c r="P54" s="21" t="e">
        <f>(D54*F54*H54*J54*#REF!)</f>
        <v>#REF!</v>
      </c>
      <c r="R54" s="21">
        <f t="shared" si="3"/>
        <v>0.19396886080354783</v>
      </c>
    </row>
    <row r="55" spans="4:18" hidden="1">
      <c r="D55">
        <v>0.8</v>
      </c>
      <c r="F55" s="21">
        <f t="shared" si="2"/>
        <v>4.3200000000000002E-2</v>
      </c>
      <c r="G55" s="21"/>
      <c r="H55">
        <v>0.51</v>
      </c>
      <c r="J55" s="21">
        <v>6.1124362002542329E-2</v>
      </c>
      <c r="K55" s="21">
        <f>J55*C41</f>
        <v>23.943635083635876</v>
      </c>
      <c r="L55" s="21" t="e">
        <f>(J55*#REF!)</f>
        <v>#REF!</v>
      </c>
      <c r="M55" s="21"/>
      <c r="N55" s="21">
        <f>(D55*F55*H55*J55*C41)</f>
        <v>0.42202093453013251</v>
      </c>
      <c r="O55">
        <f>(N55/C41)*100</f>
        <v>0.107735355491201</v>
      </c>
      <c r="P55" s="21" t="e">
        <f>(D55*F55*H55*J55*#REF!)</f>
        <v>#REF!</v>
      </c>
      <c r="R55" s="21">
        <f t="shared" si="3"/>
        <v>56.382020934530125</v>
      </c>
    </row>
    <row r="56" spans="4:18" hidden="1">
      <c r="D56" s="28">
        <f>SUM(D45:D55)</f>
        <v>9.3000000000000007</v>
      </c>
      <c r="E56" s="28"/>
      <c r="F56" s="28">
        <f t="shared" ref="F56:J56" si="4">SUM(F45:F55)</f>
        <v>0.43623333333333331</v>
      </c>
      <c r="G56" s="28"/>
      <c r="H56" s="29">
        <f t="shared" si="4"/>
        <v>6.75</v>
      </c>
      <c r="I56" s="29"/>
      <c r="J56" s="28">
        <f t="shared" si="4"/>
        <v>0.99999999999999978</v>
      </c>
      <c r="K56" s="28">
        <f>SUM(K45:K55)</f>
        <v>391.7199999999998</v>
      </c>
      <c r="L56" s="28" t="e">
        <f>SUM(L45:L55)</f>
        <v>#REF!</v>
      </c>
      <c r="M56" s="28"/>
      <c r="N56" s="28">
        <f>SUM(N45:N55)</f>
        <v>8.6449008220695784</v>
      </c>
      <c r="P56" s="28" t="e">
        <f>SUM(P45:P55)</f>
        <v>#REF!</v>
      </c>
      <c r="R56" s="28">
        <f>SUM(R45:R55)</f>
        <v>176.52490082206958</v>
      </c>
    </row>
    <row r="57" spans="4:18" hidden="1">
      <c r="D57" s="28">
        <f>AVERAGE(D45:D55)</f>
        <v>0.84545454545454557</v>
      </c>
      <c r="E57" s="28"/>
      <c r="F57" s="28">
        <f t="shared" ref="F57:J57" si="5">AVERAGE(F45:F55)</f>
        <v>3.9657575757575753E-2</v>
      </c>
      <c r="G57" s="28"/>
      <c r="H57" s="28">
        <f t="shared" si="5"/>
        <v>0.61363636363636365</v>
      </c>
      <c r="I57" s="28"/>
      <c r="J57" s="28">
        <f t="shared" si="5"/>
        <v>9.0909090909090884E-2</v>
      </c>
      <c r="K57" s="28">
        <f>AVERAGE(K45:K55)</f>
        <v>35.610909090909075</v>
      </c>
      <c r="L57" s="28" t="e">
        <f>AVERAGE(L45:L55)</f>
        <v>#REF!</v>
      </c>
      <c r="M57" s="28"/>
      <c r="N57" s="28">
        <v>24.451066104795483</v>
      </c>
      <c r="P57" s="28" t="e">
        <f>AVERAGE(P45:P55)</f>
        <v>#REF!</v>
      </c>
      <c r="R57" s="28">
        <f>AVERAGE(R45:R55)</f>
        <v>16.047718256551779</v>
      </c>
    </row>
    <row r="58" spans="4:18" hidden="1"/>
  </sheetData>
  <dataConsolidate/>
  <mergeCells count="37">
    <mergeCell ref="B7:C7"/>
    <mergeCell ref="E7:J7"/>
    <mergeCell ref="B2:C2"/>
    <mergeCell ref="B3:C3"/>
    <mergeCell ref="B4:C4"/>
    <mergeCell ref="B6:C6"/>
    <mergeCell ref="E6:J6"/>
    <mergeCell ref="B8:C8"/>
    <mergeCell ref="E8:J8"/>
    <mergeCell ref="B9:C9"/>
    <mergeCell ref="E9:J9"/>
    <mergeCell ref="B10:C10"/>
    <mergeCell ref="E10:J10"/>
    <mergeCell ref="B11:C11"/>
    <mergeCell ref="E11:J11"/>
    <mergeCell ref="B12:C12"/>
    <mergeCell ref="E12:J12"/>
    <mergeCell ref="B13:C13"/>
    <mergeCell ref="E13:J13"/>
    <mergeCell ref="B22:C22"/>
    <mergeCell ref="B14:C14"/>
    <mergeCell ref="E14:J14"/>
    <mergeCell ref="B15:C15"/>
    <mergeCell ref="E15:J15"/>
    <mergeCell ref="B16:C16"/>
    <mergeCell ref="E16:J16"/>
    <mergeCell ref="B17:C17"/>
    <mergeCell ref="E17:J17"/>
    <mergeCell ref="B18:C18"/>
    <mergeCell ref="E18:J18"/>
    <mergeCell ref="B19:C19"/>
    <mergeCell ref="E19:J19"/>
    <mergeCell ref="A24:A26"/>
    <mergeCell ref="B24:B26"/>
    <mergeCell ref="C24:C26"/>
    <mergeCell ref="D24:M24"/>
    <mergeCell ref="N24:N26"/>
  </mergeCells>
  <dataValidations count="3">
    <dataValidation allowBlank="1" showInputMessage="1" showErrorMessage="1" prompt="Includes Delta, Edo, Ekiti, Ondo States" sqref="D11"/>
    <dataValidation errorStyle="information" allowBlank="1" showInputMessage="1" showErrorMessage="1" prompt="This axis includes the PHEDC (A/Ibom, Bayelsa, C/River, Rivers) and ENEDC (Abia, Anambra, Ebonyi, Imo, Enugu)" sqref="D10"/>
    <dataValidation type="whole" errorStyle="information" showInputMessage="1" showErrorMessage="1" errorTitle="Actual Gen" error="Generation below 3200MW are dispatched according to SO's discretion for system security and stability." promptTitle="Actual Gen" prompt="Generation below 3200MW are dispatched according to SO's discretion for system security and stability." sqref="D2">
      <formula1>3200</formula1>
      <formula2>4500</formula2>
    </dataValidation>
  </dataValidations>
  <pageMargins left="0.7" right="0.7" top="0.75" bottom="0.75" header="0.3" footer="0.3"/>
  <pageSetup scale="65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R53"/>
  <sheetViews>
    <sheetView showGridLines="0" topLeftCell="A10" zoomScale="85" zoomScaleNormal="85" workbookViewId="0">
      <selection activeCell="E36" sqref="E36"/>
    </sheetView>
  </sheetViews>
  <sheetFormatPr defaultRowHeight="15"/>
  <cols>
    <col min="2" max="3" width="20.7109375" customWidth="1"/>
    <col min="4" max="4" width="13.7109375" customWidth="1"/>
    <col min="5" max="5" width="11.42578125" customWidth="1"/>
    <col min="6" max="6" width="13.7109375" customWidth="1"/>
    <col min="7" max="7" width="10.7109375" customWidth="1"/>
    <col min="8" max="8" width="13.7109375" customWidth="1"/>
    <col min="9" max="9" width="10.7109375" customWidth="1"/>
    <col min="10" max="10" width="13.7109375" customWidth="1"/>
    <col min="11" max="11" width="10.7109375" customWidth="1"/>
    <col min="12" max="12" width="13.7109375" customWidth="1"/>
    <col min="13" max="13" width="10.7109375" customWidth="1"/>
    <col min="14" max="14" width="12.7109375" customWidth="1"/>
    <col min="15" max="16" width="9.140625" customWidth="1"/>
    <col min="19" max="19" width="12.28515625" bestFit="1" customWidth="1"/>
  </cols>
  <sheetData>
    <row r="2" spans="2:10" ht="20.100000000000001" customHeight="1">
      <c r="B2" s="188" t="s">
        <v>49</v>
      </c>
      <c r="C2" s="189"/>
      <c r="D2" s="60">
        <v>3609.6</v>
      </c>
    </row>
    <row r="3" spans="2:10" ht="20.100000000000001" customHeight="1">
      <c r="B3" s="188" t="s">
        <v>14</v>
      </c>
      <c r="C3" s="189"/>
      <c r="D3" s="60">
        <v>5125</v>
      </c>
    </row>
    <row r="4" spans="2:10" ht="20.100000000000001" customHeight="1">
      <c r="B4" s="58"/>
      <c r="C4" s="58"/>
      <c r="D4" s="62"/>
      <c r="E4" s="36" t="s">
        <v>58</v>
      </c>
    </row>
    <row r="5" spans="2:10" ht="20.100000000000001" customHeight="1">
      <c r="B5" s="195" t="s">
        <v>25</v>
      </c>
      <c r="C5" s="195"/>
      <c r="D5" s="63">
        <v>223</v>
      </c>
      <c r="E5" s="192" t="s">
        <v>59</v>
      </c>
      <c r="F5" s="193"/>
      <c r="G5" s="193"/>
      <c r="H5" s="193"/>
      <c r="I5" s="193"/>
      <c r="J5" s="194"/>
    </row>
    <row r="6" spans="2:10" ht="20.100000000000001" customHeight="1">
      <c r="B6" s="195" t="s">
        <v>26</v>
      </c>
      <c r="C6" s="195"/>
      <c r="D6" s="63">
        <v>40</v>
      </c>
      <c r="E6" s="192" t="s">
        <v>60</v>
      </c>
      <c r="F6" s="193"/>
      <c r="G6" s="193"/>
      <c r="H6" s="193"/>
      <c r="I6" s="193"/>
      <c r="J6" s="194"/>
    </row>
    <row r="7" spans="2:10" ht="25.5" customHeight="1">
      <c r="B7" s="195" t="s">
        <v>27</v>
      </c>
      <c r="C7" s="195"/>
      <c r="D7" s="60">
        <v>182</v>
      </c>
      <c r="E7" s="196" t="s">
        <v>68</v>
      </c>
      <c r="F7" s="197"/>
      <c r="G7" s="197"/>
      <c r="H7" s="197"/>
      <c r="I7" s="197"/>
      <c r="J7" s="198"/>
    </row>
    <row r="8" spans="2:10" ht="30.75" customHeight="1">
      <c r="B8" s="195" t="s">
        <v>37</v>
      </c>
      <c r="C8" s="195"/>
      <c r="D8" s="60">
        <v>40</v>
      </c>
      <c r="E8" s="192" t="s">
        <v>61</v>
      </c>
      <c r="F8" s="193"/>
      <c r="G8" s="193"/>
      <c r="H8" s="193"/>
      <c r="I8" s="193"/>
      <c r="J8" s="194"/>
    </row>
    <row r="9" spans="2:10" ht="41.25" customHeight="1">
      <c r="B9" s="195" t="s">
        <v>43</v>
      </c>
      <c r="C9" s="195"/>
      <c r="D9" s="60">
        <v>768</v>
      </c>
      <c r="E9" s="199" t="s">
        <v>52</v>
      </c>
      <c r="F9" s="200"/>
      <c r="G9" s="200"/>
      <c r="H9" s="200"/>
      <c r="I9" s="200"/>
      <c r="J9" s="201"/>
    </row>
    <row r="10" spans="2:10" ht="20.100000000000001" customHeight="1">
      <c r="B10" s="195" t="s">
        <v>42</v>
      </c>
      <c r="C10" s="195"/>
      <c r="D10" s="60">
        <v>282</v>
      </c>
      <c r="E10" s="192" t="s">
        <v>73</v>
      </c>
      <c r="F10" s="193"/>
      <c r="G10" s="193"/>
      <c r="H10" s="193"/>
      <c r="I10" s="193"/>
      <c r="J10" s="194"/>
    </row>
    <row r="11" spans="2:10" ht="20.100000000000001" customHeight="1">
      <c r="B11" s="195" t="s">
        <v>39</v>
      </c>
      <c r="C11" s="195"/>
      <c r="D11" s="60">
        <v>192</v>
      </c>
      <c r="E11" s="192" t="s">
        <v>72</v>
      </c>
      <c r="F11" s="193"/>
      <c r="G11" s="193"/>
      <c r="H11" s="193"/>
      <c r="I11" s="193"/>
      <c r="J11" s="194"/>
    </row>
    <row r="12" spans="2:10" ht="20.100000000000001" customHeight="1">
      <c r="B12" s="195" t="s">
        <v>40</v>
      </c>
      <c r="C12" s="195"/>
      <c r="D12" s="60">
        <v>10</v>
      </c>
      <c r="E12" s="192" t="s">
        <v>72</v>
      </c>
      <c r="F12" s="193"/>
      <c r="G12" s="193"/>
      <c r="H12" s="193"/>
      <c r="I12" s="193"/>
      <c r="J12" s="194"/>
    </row>
    <row r="13" spans="2:10" ht="20.100000000000001" customHeight="1">
      <c r="B13" s="190" t="s">
        <v>44</v>
      </c>
      <c r="C13" s="191"/>
      <c r="D13" s="60">
        <f>IF(($D$2&lt;3000), " ", 550)</f>
        <v>550</v>
      </c>
      <c r="E13" s="192" t="s">
        <v>65</v>
      </c>
      <c r="F13" s="193"/>
      <c r="G13" s="193"/>
      <c r="H13" s="193"/>
      <c r="I13" s="193"/>
      <c r="J13" s="194"/>
    </row>
    <row r="14" spans="2:10" ht="20.100000000000001" customHeight="1">
      <c r="B14" s="190" t="s">
        <v>45</v>
      </c>
      <c r="C14" s="191"/>
      <c r="D14" s="60">
        <f>IF(($D$2&lt;3000), " ", 450)</f>
        <v>450</v>
      </c>
      <c r="E14" s="192" t="s">
        <v>65</v>
      </c>
      <c r="F14" s="193"/>
      <c r="G14" s="193"/>
      <c r="H14" s="193"/>
      <c r="I14" s="193"/>
      <c r="J14" s="194"/>
    </row>
    <row r="15" spans="2:10" ht="20.100000000000001" customHeight="1">
      <c r="B15" s="195" t="s">
        <v>46</v>
      </c>
      <c r="C15" s="195"/>
      <c r="D15" s="60">
        <v>300</v>
      </c>
      <c r="E15" s="192" t="s">
        <v>74</v>
      </c>
      <c r="F15" s="193"/>
      <c r="G15" s="193"/>
      <c r="H15" s="193"/>
      <c r="I15" s="193"/>
      <c r="J15" s="194"/>
    </row>
    <row r="16" spans="2:10" ht="20.100000000000001" customHeight="1">
      <c r="B16" s="11"/>
      <c r="C16" s="59" t="s">
        <v>36</v>
      </c>
      <c r="D16" s="64">
        <f>SUM(D5:D15)</f>
        <v>3037</v>
      </c>
    </row>
    <row r="17" spans="1:17" ht="20.100000000000001" customHeight="1">
      <c r="D17" s="65"/>
    </row>
    <row r="18" spans="1:17" ht="20.100000000000001" customHeight="1">
      <c r="B18" s="188" t="s">
        <v>38</v>
      </c>
      <c r="C18" s="189"/>
      <c r="D18" s="63">
        <f>D2-D16</f>
        <v>572.59999999999991</v>
      </c>
    </row>
    <row r="19" spans="1:17" ht="20.100000000000001" customHeight="1" thickBot="1"/>
    <row r="20" spans="1:17" ht="30" customHeight="1" thickBot="1">
      <c r="A20" s="182" t="s">
        <v>22</v>
      </c>
      <c r="B20" s="182" t="s">
        <v>12</v>
      </c>
      <c r="C20" s="182" t="s">
        <v>75</v>
      </c>
      <c r="D20" s="185" t="s">
        <v>0</v>
      </c>
      <c r="E20" s="186"/>
      <c r="F20" s="186"/>
      <c r="G20" s="186"/>
      <c r="H20" s="186"/>
      <c r="I20" s="186"/>
      <c r="J20" s="186"/>
      <c r="K20" s="186"/>
      <c r="L20" s="186"/>
      <c r="M20" s="187"/>
      <c r="N20" s="182" t="s">
        <v>23</v>
      </c>
    </row>
    <row r="21" spans="1:17" ht="68.25" customHeight="1" thickBot="1">
      <c r="A21" s="183"/>
      <c r="B21" s="183"/>
      <c r="C21" s="183"/>
      <c r="D21" s="13" t="s">
        <v>56</v>
      </c>
      <c r="E21" s="13"/>
      <c r="F21" s="13" t="s">
        <v>47</v>
      </c>
      <c r="G21" s="13"/>
      <c r="H21" s="13" t="s">
        <v>54</v>
      </c>
      <c r="I21" s="13"/>
      <c r="J21" s="13" t="s">
        <v>48</v>
      </c>
      <c r="K21" s="13"/>
      <c r="L21" s="13" t="s">
        <v>55</v>
      </c>
      <c r="M21" s="13"/>
      <c r="N21" s="183"/>
    </row>
    <row r="22" spans="1:17" ht="19.5" customHeight="1" thickBot="1">
      <c r="A22" s="184"/>
      <c r="B22" s="184"/>
      <c r="C22" s="184"/>
      <c r="D22" s="66" t="e">
        <f>$C$37*40%</f>
        <v>#REF!</v>
      </c>
      <c r="E22" s="66" t="e">
        <f>IF((SUM(All_LRF)=D22),D22,"ERROR IN REMAINDER")</f>
        <v>#REF!</v>
      </c>
      <c r="F22" s="66" t="e">
        <f>$C$37*30%</f>
        <v>#REF!</v>
      </c>
      <c r="G22" s="66" t="e">
        <f>IF((SUM(All_Based_Metering)=F22),F22,"ERROR IN REMAINDER")</f>
        <v>#REF!</v>
      </c>
      <c r="H22" s="66" t="e">
        <f>$C$37*20%</f>
        <v>#REF!</v>
      </c>
      <c r="I22" s="66" t="e">
        <f>IF((SUM(All_Based_NtwkExpsn)=H22),H22,"ERROR IN REMAINDER")</f>
        <v>#REF!</v>
      </c>
      <c r="J22" s="66">
        <f>SUM(J23:J33)</f>
        <v>0</v>
      </c>
      <c r="K22" s="66" t="e">
        <f>IF((SUM(K23:K33)=H22),H22,"ERROR IN REMAINDER")</f>
        <v>#REF!</v>
      </c>
      <c r="L22" s="66" t="e">
        <f>$C$37*10%</f>
        <v>#REF!</v>
      </c>
      <c r="M22" s="13"/>
      <c r="N22" s="184"/>
    </row>
    <row r="23" spans="1:17" ht="24.95" customHeight="1" thickBot="1">
      <c r="A23" s="6">
        <v>1</v>
      </c>
      <c r="B23" s="5" t="s">
        <v>1</v>
      </c>
      <c r="C23" s="16">
        <f>(0%*$D$18)</f>
        <v>0</v>
      </c>
      <c r="D23" s="51">
        <v>4.5999999999999996</v>
      </c>
      <c r="E23" s="39" t="e">
        <f>$D22*($D23/SUM($D23:$D33))</f>
        <v>#REF!</v>
      </c>
      <c r="F23" s="51">
        <v>4.3099999999999996</v>
      </c>
      <c r="G23" s="39" t="e">
        <f>$F$22*($F$23/SUM($F$23:$F$33))</f>
        <v>#REF!</v>
      </c>
      <c r="H23" s="51">
        <v>2.73</v>
      </c>
      <c r="I23" s="39" t="e">
        <f>$H$22*($H$23/SUM($H$23:$H$33))</f>
        <v>#REF!</v>
      </c>
      <c r="J23" s="51"/>
      <c r="K23" s="39" t="e">
        <f>$H$22*($J$23/SUM($J$23:$J$33))</f>
        <v>#REF!</v>
      </c>
      <c r="L23" s="55">
        <v>1605</v>
      </c>
      <c r="M23" s="39" t="e">
        <f>$L$22*($L23/SUM($L$23:$L$33))</f>
        <v>#REF!</v>
      </c>
      <c r="N23" s="44" t="e">
        <f>SUM($C23,$E23,$G23,$I23,$M23)</f>
        <v>#REF!</v>
      </c>
      <c r="O23" s="20"/>
      <c r="P23" s="20"/>
      <c r="Q23" s="21"/>
    </row>
    <row r="24" spans="1:17" ht="24.95" customHeight="1" thickBot="1">
      <c r="A24" s="2">
        <v>2</v>
      </c>
      <c r="B24" s="12" t="s">
        <v>2</v>
      </c>
      <c r="C24" s="16">
        <f>(0%*$D$18)</f>
        <v>0</v>
      </c>
      <c r="D24" s="52">
        <v>3.9</v>
      </c>
      <c r="E24" s="39" t="e">
        <f>D22*(D24/SUM(D23:D33))</f>
        <v>#REF!</v>
      </c>
      <c r="F24" s="52">
        <v>3.9666666666666668</v>
      </c>
      <c r="G24" s="39" t="e">
        <f>$F$22*($F$24/SUM($F$23:$F$33))</f>
        <v>#REF!</v>
      </c>
      <c r="H24" s="52">
        <v>3.1</v>
      </c>
      <c r="I24" s="39" t="e">
        <f>$H$22*($H$24/SUM($H$23:$H$33))</f>
        <v>#REF!</v>
      </c>
      <c r="J24" s="51"/>
      <c r="K24" s="39" t="e">
        <f>$H$22*($J$24/SUM($J$23:$J$33))</f>
        <v>#REF!</v>
      </c>
      <c r="L24" s="55">
        <v>1662</v>
      </c>
      <c r="M24" s="39" t="e">
        <f t="shared" ref="M24:M33" si="0">$L$22*($L24/SUM($L$23:$L$33))</f>
        <v>#REF!</v>
      </c>
      <c r="N24" s="44" t="e">
        <f t="shared" ref="N24:N33" si="1">SUM($C24,$E24,$G24,$I24,$M24)</f>
        <v>#REF!</v>
      </c>
      <c r="O24" s="20"/>
      <c r="P24" s="20"/>
      <c r="Q24" s="21"/>
    </row>
    <row r="25" spans="1:17" ht="24.95" customHeight="1" thickBot="1">
      <c r="A25" s="2">
        <v>3</v>
      </c>
      <c r="B25" s="1" t="s">
        <v>3</v>
      </c>
      <c r="C25" s="16">
        <f>IF($D$16&gt;10, (0%*$D$18), (5%*$D$18))</f>
        <v>0</v>
      </c>
      <c r="D25" s="52">
        <v>5.2</v>
      </c>
      <c r="E25" s="39" t="e">
        <f>D22*(D25/SUM(D23:D33))</f>
        <v>#REF!</v>
      </c>
      <c r="F25" s="52">
        <v>4.9433333333333342</v>
      </c>
      <c r="G25" s="39" t="e">
        <f>$F$22*($F$25/SUM($F$23:$F$33))</f>
        <v>#REF!</v>
      </c>
      <c r="H25" s="52">
        <v>3.43</v>
      </c>
      <c r="I25" s="39" t="e">
        <f>$H$22*($H$25/SUM($H$23:$H$33))</f>
        <v>#REF!</v>
      </c>
      <c r="J25" s="51"/>
      <c r="K25" s="39" t="e">
        <f>$H$22*($J$25/SUM($J$23:$J$33))</f>
        <v>#REF!</v>
      </c>
      <c r="L25" s="55">
        <v>1637</v>
      </c>
      <c r="M25" s="39" t="e">
        <f t="shared" si="0"/>
        <v>#REF!</v>
      </c>
      <c r="N25" s="44" t="e">
        <f t="shared" si="1"/>
        <v>#REF!</v>
      </c>
      <c r="O25" s="20"/>
      <c r="P25" s="20"/>
      <c r="Q25" s="21"/>
    </row>
    <row r="26" spans="1:17" ht="24.95" customHeight="1" thickBot="1">
      <c r="A26" s="2">
        <v>4</v>
      </c>
      <c r="B26" s="4" t="s">
        <v>5</v>
      </c>
      <c r="C26" s="16">
        <f>(0%*$D$18)</f>
        <v>0</v>
      </c>
      <c r="D26" s="52">
        <v>3</v>
      </c>
      <c r="E26" s="39" t="e">
        <f>D22*(D26/SUM(D23:D33))</f>
        <v>#REF!</v>
      </c>
      <c r="F26" s="52">
        <v>3.2133333333333334</v>
      </c>
      <c r="G26" s="39" t="e">
        <f>$F$22*($F$26/SUM($F$23:$F$33))</f>
        <v>#REF!</v>
      </c>
      <c r="H26" s="52">
        <v>2.64</v>
      </c>
      <c r="I26" s="39" t="e">
        <f>$H$22*($H$26/SUM($H$23:$H$33))</f>
        <v>#REF!</v>
      </c>
      <c r="J26" s="51"/>
      <c r="K26" s="39" t="e">
        <f>$H$22*($J$26/SUM($J$23:$J$33))</f>
        <v>#REF!</v>
      </c>
      <c r="L26" s="55">
        <v>1684</v>
      </c>
      <c r="M26" s="39" t="e">
        <f t="shared" si="0"/>
        <v>#REF!</v>
      </c>
      <c r="N26" s="44" t="e">
        <f t="shared" si="1"/>
        <v>#REF!</v>
      </c>
      <c r="O26" s="20"/>
      <c r="P26" s="20"/>
      <c r="Q26" s="21"/>
    </row>
    <row r="27" spans="1:17" ht="24.95" customHeight="1" thickBot="1">
      <c r="A27" s="2">
        <v>5</v>
      </c>
      <c r="B27" s="3" t="s">
        <v>6</v>
      </c>
      <c r="C27" s="16">
        <f>(10%*$D$18)</f>
        <v>57.259999999999991</v>
      </c>
      <c r="D27" s="52">
        <v>4.0999999999999996</v>
      </c>
      <c r="E27" s="39" t="e">
        <f>D22*(D27/SUM(D23:D33))</f>
        <v>#REF!</v>
      </c>
      <c r="F27" s="52">
        <v>4.0366666666666662</v>
      </c>
      <c r="G27" s="39" t="e">
        <f>$F$22*($F$27/SUM($F$23:$F$33))</f>
        <v>#REF!</v>
      </c>
      <c r="H27" s="52">
        <v>2.91</v>
      </c>
      <c r="I27" s="39" t="e">
        <f>$H$22*($H$27/SUM($H$23:$H$33))</f>
        <v>#REF!</v>
      </c>
      <c r="J27" s="51"/>
      <c r="K27" s="39" t="e">
        <f>$H$22*($J$27/SUM($J$23:$J$33))</f>
        <v>#REF!</v>
      </c>
      <c r="L27" s="55">
        <v>1602</v>
      </c>
      <c r="M27" s="39" t="e">
        <f t="shared" si="0"/>
        <v>#REF!</v>
      </c>
      <c r="N27" s="44" t="e">
        <f t="shared" si="1"/>
        <v>#REF!</v>
      </c>
      <c r="O27" s="20"/>
      <c r="P27" s="20"/>
      <c r="Q27" s="21"/>
    </row>
    <row r="28" spans="1:17" ht="24.95" customHeight="1" thickBot="1">
      <c r="A28" s="2">
        <v>6</v>
      </c>
      <c r="B28" s="1" t="s">
        <v>4</v>
      </c>
      <c r="C28" s="16">
        <f>IF($D$13&gt;10, (0%*$D$18), (5%*$D$18))</f>
        <v>0</v>
      </c>
      <c r="D28" s="52">
        <v>3.5</v>
      </c>
      <c r="E28" s="39" t="e">
        <f>D22*(D28/SUM(D23:D33))</f>
        <v>#REF!</v>
      </c>
      <c r="F28" s="51">
        <v>3.6766666666666663</v>
      </c>
      <c r="G28" s="39" t="e">
        <f>$F$22*($F$28/SUM($F$23:$F$33))</f>
        <v>#REF!</v>
      </c>
      <c r="H28" s="52">
        <v>3.03</v>
      </c>
      <c r="I28" s="39" t="e">
        <f>$H$22*($H$28/SUM($H$23:$H$33))</f>
        <v>#REF!</v>
      </c>
      <c r="J28" s="51"/>
      <c r="K28" s="39" t="e">
        <f>$H$22*($J$28/SUM($J$23:$J$33))</f>
        <v>#REF!</v>
      </c>
      <c r="L28" s="55">
        <v>1593.5</v>
      </c>
      <c r="M28" s="39" t="e">
        <f t="shared" si="0"/>
        <v>#REF!</v>
      </c>
      <c r="N28" s="44" t="e">
        <f t="shared" si="1"/>
        <v>#REF!</v>
      </c>
      <c r="O28" s="20"/>
      <c r="P28" s="20"/>
      <c r="Q28" s="21"/>
    </row>
    <row r="29" spans="1:17" ht="24.95" customHeight="1" thickBot="1">
      <c r="A29" s="2">
        <v>7</v>
      </c>
      <c r="B29" s="3" t="s">
        <v>7</v>
      </c>
      <c r="C29" s="16">
        <f>(10%*$D$18)</f>
        <v>57.259999999999991</v>
      </c>
      <c r="D29" s="52">
        <v>3.6</v>
      </c>
      <c r="E29" s="39" t="e">
        <f>D22*(D29/SUM(D23:D33))</f>
        <v>#REF!</v>
      </c>
      <c r="F29" s="52">
        <v>3.8833333333333333</v>
      </c>
      <c r="G29" s="39" t="e">
        <f>$F$22*($F$29/SUM($F$23:$F$33))</f>
        <v>#REF!</v>
      </c>
      <c r="H29" s="52">
        <v>3.45</v>
      </c>
      <c r="I29" s="39" t="e">
        <f>$H$22*($H$29/SUM($H$23:$H$33))</f>
        <v>#REF!</v>
      </c>
      <c r="J29" s="51"/>
      <c r="K29" s="39" t="e">
        <f>$H$22*($J$29/SUM($J$23:$J$33))</f>
        <v>#REF!</v>
      </c>
      <c r="L29" s="55">
        <v>1692</v>
      </c>
      <c r="M29" s="39" t="e">
        <f t="shared" si="0"/>
        <v>#REF!</v>
      </c>
      <c r="N29" s="44" t="e">
        <f t="shared" si="1"/>
        <v>#REF!</v>
      </c>
      <c r="O29" s="20"/>
      <c r="P29" s="20"/>
      <c r="Q29" s="21"/>
    </row>
    <row r="30" spans="1:17" ht="24.95" customHeight="1" thickBot="1">
      <c r="A30" s="2">
        <v>8</v>
      </c>
      <c r="B30" s="3" t="s">
        <v>8</v>
      </c>
      <c r="C30" s="16" t="e">
        <f>IF(#REF!&gt;10, (0%*$D$18), (5%*$D$18))</f>
        <v>#REF!</v>
      </c>
      <c r="D30" s="52">
        <v>2.9</v>
      </c>
      <c r="E30" s="39" t="e">
        <f>D22*(D30/SUM(D23:D33))</f>
        <v>#REF!</v>
      </c>
      <c r="F30" s="52">
        <v>3.24</v>
      </c>
      <c r="G30" s="39" t="e">
        <f>$F$22*($F$30/SUM($F$23:$F$33))</f>
        <v>#REF!</v>
      </c>
      <c r="H30" s="52">
        <v>2.92</v>
      </c>
      <c r="I30" s="39" t="e">
        <f>$H$22*($H$30/SUM($H$23:$H$33))</f>
        <v>#REF!</v>
      </c>
      <c r="J30" s="51"/>
      <c r="K30" s="39" t="e">
        <f>$H$22*($J$30/SUM($J$23:$J$33))</f>
        <v>#REF!</v>
      </c>
      <c r="L30" s="55">
        <v>1366.9</v>
      </c>
      <c r="M30" s="39" t="e">
        <f t="shared" si="0"/>
        <v>#REF!</v>
      </c>
      <c r="N30" s="44" t="e">
        <f t="shared" si="1"/>
        <v>#REF!</v>
      </c>
      <c r="O30" s="20"/>
      <c r="P30" s="20"/>
      <c r="Q30" s="21"/>
    </row>
    <row r="31" spans="1:17" ht="24.95" customHeight="1" thickBot="1">
      <c r="A31" s="2">
        <v>9</v>
      </c>
      <c r="B31" s="3" t="s">
        <v>9</v>
      </c>
      <c r="C31" s="16">
        <f>(0%*$D$18)</f>
        <v>0</v>
      </c>
      <c r="D31" s="52">
        <v>4.3</v>
      </c>
      <c r="E31" s="39" t="e">
        <f>D22*(D31/SUM(D23:D33))</f>
        <v>#REF!</v>
      </c>
      <c r="F31" s="52">
        <v>4.29</v>
      </c>
      <c r="G31" s="39" t="e">
        <f>$F$22*($F$31/SUM($F$23:$F$33))</f>
        <v>#REF!</v>
      </c>
      <c r="H31" s="52">
        <v>3.27</v>
      </c>
      <c r="I31" s="39" t="e">
        <f>$H$22*($H$31/SUM($H$23:$H$33))</f>
        <v>#REF!</v>
      </c>
      <c r="J31" s="51"/>
      <c r="K31" s="39" t="e">
        <f>$H$22*($J$31/SUM($J$23:$J$33))</f>
        <v>#REF!</v>
      </c>
      <c r="L31" s="55">
        <v>1403.6</v>
      </c>
      <c r="M31" s="39" t="e">
        <f t="shared" si="0"/>
        <v>#REF!</v>
      </c>
      <c r="N31" s="44" t="e">
        <f t="shared" si="1"/>
        <v>#REF!</v>
      </c>
      <c r="O31" s="20"/>
      <c r="P31" s="20"/>
      <c r="Q31" s="21"/>
    </row>
    <row r="32" spans="1:17" ht="24.95" customHeight="1" thickBot="1">
      <c r="A32" s="2">
        <v>10</v>
      </c>
      <c r="B32" s="4" t="s">
        <v>10</v>
      </c>
      <c r="C32" s="16">
        <f>(0%*$D$18)</f>
        <v>0</v>
      </c>
      <c r="D32" s="52">
        <v>3.7</v>
      </c>
      <c r="E32" s="39" t="e">
        <f>D22*(D32/SUM(D23:D33))</f>
        <v>#REF!</v>
      </c>
      <c r="F32" s="52">
        <v>3.7433333333333336</v>
      </c>
      <c r="G32" s="39" t="e">
        <f>$F$22*($F$32/SUM($F$23:$F$33))</f>
        <v>#REF!</v>
      </c>
      <c r="H32" s="52">
        <v>2.83</v>
      </c>
      <c r="I32" s="39" t="e">
        <f>$H$22*($H$32/SUM($H$23:$H$33))</f>
        <v>#REF!</v>
      </c>
      <c r="J32" s="51"/>
      <c r="K32" s="39" t="e">
        <f>$H$22*($J$32/SUM($J$23:$J$33))</f>
        <v>#REF!</v>
      </c>
      <c r="L32" s="55">
        <v>1640.3</v>
      </c>
      <c r="M32" s="39" t="e">
        <f t="shared" si="0"/>
        <v>#REF!</v>
      </c>
      <c r="N32" s="44" t="e">
        <f t="shared" si="1"/>
        <v>#REF!</v>
      </c>
      <c r="O32" s="20"/>
      <c r="P32" s="20"/>
      <c r="Q32" s="21"/>
    </row>
    <row r="33" spans="1:18" ht="24.95" customHeight="1" thickBot="1">
      <c r="A33" s="2">
        <v>11</v>
      </c>
      <c r="B33" s="69" t="s">
        <v>11</v>
      </c>
      <c r="C33" s="16">
        <f>(10%*$D$18)</f>
        <v>57.259999999999991</v>
      </c>
      <c r="D33" s="52">
        <v>4.4000000000000004</v>
      </c>
      <c r="E33" s="39" t="e">
        <f>D22*(D33/SUM(D23:D33))</f>
        <v>#REF!</v>
      </c>
      <c r="F33" s="51">
        <v>4.32</v>
      </c>
      <c r="G33" s="39" t="e">
        <f>$F$22*($F$33/SUM($F$23:$F$33))</f>
        <v>#REF!</v>
      </c>
      <c r="H33" s="52">
        <v>3.16</v>
      </c>
      <c r="I33" s="39" t="e">
        <f>$H$22*($H$33/SUM($H$23:$H$33))</f>
        <v>#REF!</v>
      </c>
      <c r="J33" s="51"/>
      <c r="K33" s="39" t="e">
        <f>$H$22*($J$33/SUM($J$23:$J$33))</f>
        <v>#REF!</v>
      </c>
      <c r="L33" s="55">
        <v>1507</v>
      </c>
      <c r="M33" s="39" t="e">
        <f t="shared" si="0"/>
        <v>#REF!</v>
      </c>
      <c r="N33" s="44" t="e">
        <f t="shared" si="1"/>
        <v>#REF!</v>
      </c>
      <c r="O33" s="20"/>
      <c r="P33" s="20"/>
      <c r="Q33" s="21"/>
    </row>
    <row r="34" spans="1:18" ht="30" customHeight="1">
      <c r="B34" s="68" t="str">
        <f xml:space="preserve"> "55% OF CAPACITY FOR ALLOCATION"</f>
        <v>55% OF CAPACITY FOR ALLOCATION</v>
      </c>
      <c r="C34" s="70" t="e">
        <f>SUM(C23:C33)</f>
        <v>#REF!</v>
      </c>
      <c r="M34" s="36"/>
      <c r="N34" s="67" t="e">
        <f>SUM(N23:N33)</f>
        <v>#REF!</v>
      </c>
      <c r="O34" s="20"/>
      <c r="P34" s="20"/>
    </row>
    <row r="35" spans="1:18" ht="30" customHeight="1">
      <c r="B35" s="68" t="s">
        <v>53</v>
      </c>
      <c r="C35" s="70" t="e">
        <f>((C34/D2)*100)</f>
        <v>#REF!</v>
      </c>
      <c r="E35" s="38"/>
      <c r="I35" s="43"/>
      <c r="N35" s="57" t="e">
        <f>IF(N34=(D2-D16),"ALLOCATION BALANCED","ALLOCATION NOT BALANCED")</f>
        <v>#REF!</v>
      </c>
      <c r="O35" s="20"/>
      <c r="P35" s="20"/>
    </row>
    <row r="36" spans="1:18" ht="30" customHeight="1">
      <c r="B36" s="30"/>
      <c r="C36" s="23"/>
      <c r="E36" s="38"/>
      <c r="I36" s="43"/>
      <c r="L36" s="72"/>
      <c r="N36" s="57"/>
      <c r="O36" s="20"/>
      <c r="P36" s="20"/>
    </row>
    <row r="37" spans="1:18" ht="30" customHeight="1">
      <c r="B37" s="59" t="s">
        <v>32</v>
      </c>
      <c r="C37" s="71" t="e">
        <f>D18-C34</f>
        <v>#REF!</v>
      </c>
      <c r="E37" s="41"/>
    </row>
    <row r="38" spans="1:18" ht="30" customHeight="1">
      <c r="B38" s="30"/>
      <c r="C38" s="23"/>
      <c r="E38" s="41"/>
    </row>
    <row r="40" spans="1:18" ht="61.5" customHeight="1">
      <c r="E40" s="41"/>
      <c r="K40" s="31" t="s">
        <v>33</v>
      </c>
      <c r="L40" s="31" t="s">
        <v>34</v>
      </c>
      <c r="M40" s="31"/>
      <c r="N40" s="31" t="s">
        <v>35</v>
      </c>
      <c r="O40" s="31"/>
      <c r="P40" s="31" t="s">
        <v>21</v>
      </c>
    </row>
    <row r="41" spans="1:18">
      <c r="D41">
        <v>1.2</v>
      </c>
      <c r="E41" s="42"/>
      <c r="F41" s="21">
        <f t="shared" ref="F41:F51" si="2">F23/100</f>
        <v>4.3099999999999999E-2</v>
      </c>
      <c r="G41" s="21"/>
      <c r="H41">
        <v>0.61</v>
      </c>
      <c r="J41" s="21">
        <v>0.1014712081438757</v>
      </c>
      <c r="K41" s="21" t="e">
        <f>J41*C37</f>
        <v>#REF!</v>
      </c>
      <c r="L41" s="21" t="e">
        <f>(J41*#REF!)</f>
        <v>#REF!</v>
      </c>
      <c r="M41" s="21"/>
      <c r="N41" s="21" t="e">
        <f>(D41*F41*H41*J41*C37)</f>
        <v>#REF!</v>
      </c>
      <c r="O41" t="e">
        <f>(N41/C37)*100</f>
        <v>#REF!</v>
      </c>
      <c r="P41" s="21" t="e">
        <f>(D41*F41*H41*J41*#REF!)</f>
        <v>#REF!</v>
      </c>
      <c r="R41" s="21" t="e">
        <f t="shared" ref="R41:R51" si="3">C23+N41</f>
        <v>#REF!</v>
      </c>
    </row>
    <row r="42" spans="1:18">
      <c r="D42">
        <v>0.8</v>
      </c>
      <c r="E42" s="42"/>
      <c r="F42" s="21">
        <f t="shared" si="2"/>
        <v>3.966666666666667E-2</v>
      </c>
      <c r="G42" s="21"/>
      <c r="H42">
        <v>0.64</v>
      </c>
      <c r="J42" s="21">
        <v>0.1368211895978006</v>
      </c>
      <c r="K42" s="21" t="e">
        <f>J42*C37</f>
        <v>#REF!</v>
      </c>
      <c r="L42" s="21" t="e">
        <f>(J42*#REF!)</f>
        <v>#REF!</v>
      </c>
      <c r="M42" s="21"/>
      <c r="N42" s="21" t="e">
        <f>(D42*F42*H42*J42*C37)</f>
        <v>#REF!</v>
      </c>
      <c r="O42" t="e">
        <f>(N42/C37)*100</f>
        <v>#REF!</v>
      </c>
      <c r="P42" s="21" t="e">
        <f>(D42*F42*H42*J42*#REF!)</f>
        <v>#REF!</v>
      </c>
      <c r="R42" s="21" t="e">
        <f t="shared" si="3"/>
        <v>#REF!</v>
      </c>
    </row>
    <row r="43" spans="1:18">
      <c r="D43">
        <v>1.1000000000000001</v>
      </c>
      <c r="E43" s="42"/>
      <c r="F43" s="21">
        <f t="shared" si="2"/>
        <v>4.9433333333333343E-2</v>
      </c>
      <c r="G43" s="21"/>
      <c r="H43">
        <v>0.79</v>
      </c>
      <c r="J43" s="21">
        <v>6.1712665445189899E-2</v>
      </c>
      <c r="K43" s="21" t="e">
        <f>J43*C37</f>
        <v>#REF!</v>
      </c>
      <c r="L43" s="21" t="e">
        <f>(J43*#REF!)</f>
        <v>#REF!</v>
      </c>
      <c r="M43" s="21"/>
      <c r="N43" s="21" t="e">
        <f>(D43*F43*H43*J43*C37)</f>
        <v>#REF!</v>
      </c>
      <c r="O43" t="e">
        <f>(N43/C37)*100</f>
        <v>#REF!</v>
      </c>
      <c r="P43" s="21" t="e">
        <f>(D43*F43*H43*J43*#REF!)</f>
        <v>#REF!</v>
      </c>
      <c r="R43" s="21" t="e">
        <f t="shared" si="3"/>
        <v>#REF!</v>
      </c>
    </row>
    <row r="44" spans="1:18">
      <c r="D44">
        <v>0.9</v>
      </c>
      <c r="E44" s="42"/>
      <c r="F44" s="21">
        <f t="shared" si="2"/>
        <v>3.2133333333333333E-2</v>
      </c>
      <c r="G44" s="21"/>
      <c r="H44">
        <v>0.56999999999999995</v>
      </c>
      <c r="J44" s="21">
        <v>0.10287126482934227</v>
      </c>
      <c r="K44" s="21" t="e">
        <f>J44*C37</f>
        <v>#REF!</v>
      </c>
      <c r="L44" s="21" t="e">
        <f>(J44*#REF!)</f>
        <v>#REF!</v>
      </c>
      <c r="M44" s="21"/>
      <c r="N44" s="21" t="e">
        <f>(D44*F44*H44*J44*C37)</f>
        <v>#REF!</v>
      </c>
      <c r="O44" t="e">
        <f>(N44/C37)*100</f>
        <v>#REF!</v>
      </c>
      <c r="P44" s="21" t="e">
        <f>(D44*F44*H44*J44*#REF!)</f>
        <v>#REF!</v>
      </c>
      <c r="R44" s="21" t="e">
        <f t="shared" si="3"/>
        <v>#REF!</v>
      </c>
    </row>
    <row r="45" spans="1:18">
      <c r="D45" s="27">
        <v>1</v>
      </c>
      <c r="E45" s="42"/>
      <c r="F45" s="21">
        <f t="shared" si="2"/>
        <v>4.0366666666666662E-2</v>
      </c>
      <c r="G45" s="21"/>
      <c r="H45" s="21">
        <v>0.6</v>
      </c>
      <c r="I45" s="21"/>
      <c r="J45" s="21">
        <v>0.1839097187171459</v>
      </c>
      <c r="K45" s="21" t="e">
        <f>J45*C37</f>
        <v>#REF!</v>
      </c>
      <c r="L45" s="21" t="e">
        <f>(J45*#REF!)</f>
        <v>#REF!</v>
      </c>
      <c r="M45" s="21"/>
      <c r="N45" s="21" t="e">
        <f>(D45*F45*H45*J45*C37)</f>
        <v>#REF!</v>
      </c>
      <c r="O45" t="e">
        <f>(N45/C37)*100</f>
        <v>#REF!</v>
      </c>
      <c r="P45" s="21" t="e">
        <f>(D45*F45*H45*J45*#REF!)</f>
        <v>#REF!</v>
      </c>
      <c r="R45" s="21" t="e">
        <f t="shared" si="3"/>
        <v>#REF!</v>
      </c>
    </row>
    <row r="46" spans="1:18">
      <c r="D46">
        <v>0.9</v>
      </c>
      <c r="E46" s="42"/>
      <c r="F46" s="21">
        <f t="shared" si="2"/>
        <v>3.6766666666666663E-2</v>
      </c>
      <c r="G46" s="21"/>
      <c r="H46">
        <v>0.74</v>
      </c>
      <c r="J46" s="21">
        <v>9.2826710019603464E-2</v>
      </c>
      <c r="K46" s="21" t="e">
        <f>J46*C37</f>
        <v>#REF!</v>
      </c>
      <c r="L46" s="21" t="e">
        <f>(J46*#REF!)</f>
        <v>#REF!</v>
      </c>
      <c r="M46" s="21"/>
      <c r="N46" s="21" t="e">
        <f>(D46*F46*H46*J46*C37)</f>
        <v>#REF!</v>
      </c>
      <c r="O46" t="e">
        <f>(N46/C37)*100</f>
        <v>#REF!</v>
      </c>
      <c r="P46" s="21" t="e">
        <f>(D46*F46*H46*J46*#REF!)</f>
        <v>#REF!</v>
      </c>
      <c r="R46" s="21" t="e">
        <f t="shared" si="3"/>
        <v>#REF!</v>
      </c>
    </row>
    <row r="47" spans="1:18">
      <c r="D47">
        <v>0.9</v>
      </c>
      <c r="F47" s="21">
        <f t="shared" si="2"/>
        <v>3.8833333333333331E-2</v>
      </c>
      <c r="G47" s="21"/>
      <c r="H47">
        <v>0.76</v>
      </c>
      <c r="J47" s="21">
        <v>6.8912002776524761E-2</v>
      </c>
      <c r="K47" s="21" t="e">
        <f>J47*C37</f>
        <v>#REF!</v>
      </c>
      <c r="L47" s="21" t="e">
        <f>(J47*#REF!)</f>
        <v>#REF!</v>
      </c>
      <c r="M47" s="21"/>
      <c r="N47" s="21" t="e">
        <f>(D47*F47*H47*J47*C37)</f>
        <v>#REF!</v>
      </c>
      <c r="O47" t="e">
        <f>(N47/C37)*100</f>
        <v>#REF!</v>
      </c>
      <c r="P47" s="21" t="e">
        <f>(D47*F47*H47*J47*#REF!)</f>
        <v>#REF!</v>
      </c>
      <c r="R47" s="21" t="e">
        <f t="shared" si="3"/>
        <v>#REF!</v>
      </c>
    </row>
    <row r="48" spans="1:18">
      <c r="D48">
        <v>0.6</v>
      </c>
      <c r="F48" s="21">
        <f t="shared" si="2"/>
        <v>3.2400000000000005E-2</v>
      </c>
      <c r="G48" s="21"/>
      <c r="H48">
        <v>0.52</v>
      </c>
      <c r="J48" s="21">
        <v>6.6361928912677226E-2</v>
      </c>
      <c r="K48" s="21" t="e">
        <f>J48*C37</f>
        <v>#REF!</v>
      </c>
      <c r="L48" s="21" t="e">
        <f>(J48*#REF!)</f>
        <v>#REF!</v>
      </c>
      <c r="M48" s="21"/>
      <c r="N48" s="21" t="e">
        <f>(D48*F48*H48*J48*C37)</f>
        <v>#REF!</v>
      </c>
      <c r="O48" t="e">
        <f>(N48/C37)*100</f>
        <v>#REF!</v>
      </c>
      <c r="P48" s="21" t="e">
        <f>(D48*F48*H48*J48*#REF!)</f>
        <v>#REF!</v>
      </c>
      <c r="R48" s="21" t="e">
        <f t="shared" si="3"/>
        <v>#REF!</v>
      </c>
    </row>
    <row r="49" spans="4:18">
      <c r="D49">
        <v>0.6</v>
      </c>
      <c r="F49" s="21">
        <f t="shared" si="2"/>
        <v>4.2900000000000001E-2</v>
      </c>
      <c r="G49" s="21"/>
      <c r="H49">
        <v>0.55000000000000004</v>
      </c>
      <c r="J49" s="21">
        <v>6.6475431776985935E-2</v>
      </c>
      <c r="K49" s="21" t="e">
        <f>J49*C37</f>
        <v>#REF!</v>
      </c>
      <c r="L49" s="21" t="e">
        <f>(J49*#REF!)</f>
        <v>#REF!</v>
      </c>
      <c r="M49" s="21"/>
      <c r="N49" s="21" t="e">
        <f>(D49*F49*H49*J49*C37)</f>
        <v>#REF!</v>
      </c>
      <c r="O49" t="e">
        <f>(N49/C37)*100</f>
        <v>#REF!</v>
      </c>
      <c r="P49" s="21" t="e">
        <f>(D49*F49*H49*J49*#REF!)</f>
        <v>#REF!</v>
      </c>
      <c r="R49" s="21" t="e">
        <f t="shared" si="3"/>
        <v>#REF!</v>
      </c>
    </row>
    <row r="50" spans="4:18">
      <c r="D50">
        <v>0.5</v>
      </c>
      <c r="F50" s="21">
        <f t="shared" si="2"/>
        <v>3.7433333333333339E-2</v>
      </c>
      <c r="G50" s="21"/>
      <c r="H50">
        <v>0.46</v>
      </c>
      <c r="J50" s="21">
        <v>5.7513517778311832E-2</v>
      </c>
      <c r="K50" s="21" t="e">
        <f>J50*C37</f>
        <v>#REF!</v>
      </c>
      <c r="L50" s="21" t="e">
        <f>(J50*#REF!)</f>
        <v>#REF!</v>
      </c>
      <c r="M50" s="21"/>
      <c r="N50" s="21" t="e">
        <f>(D50*F50*H50*J50*C37)</f>
        <v>#REF!</v>
      </c>
      <c r="O50" t="e">
        <f>(N50/C37)*100</f>
        <v>#REF!</v>
      </c>
      <c r="P50" s="21" t="e">
        <f>(D50*F50*H50*J50*#REF!)</f>
        <v>#REF!</v>
      </c>
      <c r="R50" s="21" t="e">
        <f t="shared" si="3"/>
        <v>#REF!</v>
      </c>
    </row>
    <row r="51" spans="4:18">
      <c r="D51">
        <v>0.8</v>
      </c>
      <c r="F51" s="21">
        <f t="shared" si="2"/>
        <v>4.3200000000000002E-2</v>
      </c>
      <c r="G51" s="21"/>
      <c r="H51">
        <v>0.51</v>
      </c>
      <c r="J51" s="21">
        <v>6.1124362002542329E-2</v>
      </c>
      <c r="K51" s="21" t="e">
        <f>J51*C37</f>
        <v>#REF!</v>
      </c>
      <c r="L51" s="21" t="e">
        <f>(J51*#REF!)</f>
        <v>#REF!</v>
      </c>
      <c r="M51" s="21"/>
      <c r="N51" s="21" t="e">
        <f>(D51*F51*H51*J51*C37)</f>
        <v>#REF!</v>
      </c>
      <c r="O51" t="e">
        <f>(N51/C37)*100</f>
        <v>#REF!</v>
      </c>
      <c r="P51" s="21" t="e">
        <f>(D51*F51*H51*J51*#REF!)</f>
        <v>#REF!</v>
      </c>
      <c r="R51" s="21" t="e">
        <f t="shared" si="3"/>
        <v>#REF!</v>
      </c>
    </row>
    <row r="52" spans="4:18">
      <c r="D52" s="28">
        <f>SUM(D41:D51)</f>
        <v>9.3000000000000007</v>
      </c>
      <c r="E52" s="28"/>
      <c r="F52" s="28">
        <f t="shared" ref="F52:J52" si="4">SUM(F41:F51)</f>
        <v>0.43623333333333331</v>
      </c>
      <c r="G52" s="28"/>
      <c r="H52" s="29">
        <f t="shared" si="4"/>
        <v>6.75</v>
      </c>
      <c r="I52" s="29"/>
      <c r="J52" s="28">
        <f t="shared" si="4"/>
        <v>0.99999999999999978</v>
      </c>
      <c r="K52" s="28" t="e">
        <f>SUM(K41:K51)</f>
        <v>#REF!</v>
      </c>
      <c r="L52" s="28" t="e">
        <f>SUM(L41:L51)</f>
        <v>#REF!</v>
      </c>
      <c r="M52" s="28"/>
      <c r="N52" s="28" t="e">
        <f>SUM(N41:N51)</f>
        <v>#REF!</v>
      </c>
      <c r="P52" s="28" t="e">
        <f>SUM(P41:P51)</f>
        <v>#REF!</v>
      </c>
      <c r="R52" s="28" t="e">
        <f>SUM(R41:R51)</f>
        <v>#REF!</v>
      </c>
    </row>
    <row r="53" spans="4:18">
      <c r="D53" s="28">
        <f>AVERAGE(D41:D51)</f>
        <v>0.84545454545454557</v>
      </c>
      <c r="E53" s="28"/>
      <c r="F53" s="28">
        <f t="shared" ref="F53:J53" si="5">AVERAGE(F41:F51)</f>
        <v>3.9657575757575753E-2</v>
      </c>
      <c r="G53" s="28"/>
      <c r="H53" s="28">
        <f t="shared" si="5"/>
        <v>0.61363636363636365</v>
      </c>
      <c r="I53" s="28"/>
      <c r="J53" s="28">
        <f t="shared" si="5"/>
        <v>9.0909090909090884E-2</v>
      </c>
      <c r="K53" s="28" t="e">
        <f>AVERAGE(K41:K51)</f>
        <v>#REF!</v>
      </c>
      <c r="L53" s="28" t="e">
        <f>AVERAGE(L41:L51)</f>
        <v>#REF!</v>
      </c>
      <c r="M53" s="28"/>
      <c r="N53" s="28">
        <v>24.451066104795483</v>
      </c>
      <c r="P53" s="28" t="e">
        <f>AVERAGE(P41:P51)</f>
        <v>#REF!</v>
      </c>
      <c r="R53" s="28" t="e">
        <f>AVERAGE(R41:R51)</f>
        <v>#REF!</v>
      </c>
    </row>
  </sheetData>
  <scenarios current="0" show="0">
    <scenario name="exempted_load" locked="1" hidden="1" count="1" user="whyem" comment="Created by whyem on 15/04/2012&#10;Modified by whyem on 15/04/2012">
      <inputCells r="D18" val="1000"/>
    </scenario>
  </scenarios>
  <dataConsolidate/>
  <mergeCells count="30">
    <mergeCell ref="E14:J14"/>
    <mergeCell ref="E13:J13"/>
    <mergeCell ref="E10:J10"/>
    <mergeCell ref="E11:J11"/>
    <mergeCell ref="E12:J12"/>
    <mergeCell ref="E5:J5"/>
    <mergeCell ref="E6:J6"/>
    <mergeCell ref="E7:J7"/>
    <mergeCell ref="E8:J8"/>
    <mergeCell ref="E9:J9"/>
    <mergeCell ref="B2:C2"/>
    <mergeCell ref="B3:C3"/>
    <mergeCell ref="B15:C15"/>
    <mergeCell ref="B12:C12"/>
    <mergeCell ref="B9:C9"/>
    <mergeCell ref="B10:C10"/>
    <mergeCell ref="B11:C11"/>
    <mergeCell ref="B5:C5"/>
    <mergeCell ref="B6:C6"/>
    <mergeCell ref="B7:C7"/>
    <mergeCell ref="B8:C8"/>
    <mergeCell ref="B14:C14"/>
    <mergeCell ref="B13:C13"/>
    <mergeCell ref="A20:A22"/>
    <mergeCell ref="N20:N22"/>
    <mergeCell ref="E15:J15"/>
    <mergeCell ref="C20:C22"/>
    <mergeCell ref="B20:B22"/>
    <mergeCell ref="D20:M20"/>
    <mergeCell ref="B18:C18"/>
  </mergeCells>
  <dataValidations count="3">
    <dataValidation errorStyle="information" allowBlank="1" showInputMessage="1" showErrorMessage="1" prompt="This axis includes the PHEDC (A/Ibom, Bayelsa, C/River, Rivers) and ENEDC (Abia, Anambra, Ebonyi, Imo, Enugu)" sqref="D9"/>
    <dataValidation allowBlank="1" showInputMessage="1" showErrorMessage="1" prompt="Includes Delta, Edo, Ekiti, Ondo States" sqref="D10"/>
    <dataValidation type="whole" errorStyle="information" showInputMessage="1" showErrorMessage="1" errorTitle="Actual Gen" error="Generation below 2000MW are dispatched according to SO's discretion for system security and stability." promptTitle="Actual Gen" prompt="Generation below 2000MW are dispatched according to SO's discretion for system security and stability." sqref="D2">
      <formula1>3200</formula1>
      <formula2>4500</formula2>
    </dataValidation>
  </dataValidations>
  <pageMargins left="0.7" right="0.7" top="0.75" bottom="0.75" header="0.3" footer="0.3"/>
  <pageSetup scale="65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22"/>
  <sheetViews>
    <sheetView zoomScale="85" zoomScaleNormal="85" workbookViewId="0">
      <selection activeCell="E10" sqref="E10:J10"/>
    </sheetView>
  </sheetViews>
  <sheetFormatPr defaultRowHeight="15"/>
  <cols>
    <col min="2" max="9" width="20.7109375" customWidth="1"/>
    <col min="10" max="14" width="10.7109375" customWidth="1"/>
    <col min="15" max="15" width="25.7109375" customWidth="1"/>
  </cols>
  <sheetData>
    <row r="2" spans="1:15" ht="20.100000000000001" customHeight="1">
      <c r="B2" s="202" t="s">
        <v>13</v>
      </c>
      <c r="C2" s="202"/>
    </row>
    <row r="3" spans="1:15" ht="20.100000000000001" customHeight="1">
      <c r="B3" s="202" t="s">
        <v>14</v>
      </c>
      <c r="C3" s="202"/>
    </row>
    <row r="4" spans="1:15" ht="20.100000000000001" customHeight="1">
      <c r="B4" s="202" t="s">
        <v>18</v>
      </c>
      <c r="C4" s="202"/>
    </row>
    <row r="5" spans="1:15" ht="20.100000000000001" customHeight="1" thickBot="1"/>
    <row r="6" spans="1:15" ht="30" customHeight="1" thickBot="1">
      <c r="A6" s="182" t="s">
        <v>22</v>
      </c>
      <c r="B6" s="182" t="s">
        <v>12</v>
      </c>
      <c r="C6" s="182" t="s">
        <v>13</v>
      </c>
      <c r="D6" s="182" t="s">
        <v>14</v>
      </c>
      <c r="E6" s="182" t="s">
        <v>18</v>
      </c>
      <c r="F6" s="182" t="s">
        <v>24</v>
      </c>
      <c r="G6" s="182" t="s">
        <v>17</v>
      </c>
      <c r="H6" s="182" t="s">
        <v>16</v>
      </c>
      <c r="I6" s="182" t="s">
        <v>15</v>
      </c>
      <c r="J6" s="185" t="s">
        <v>0</v>
      </c>
      <c r="K6" s="186"/>
      <c r="L6" s="186"/>
      <c r="M6" s="186"/>
      <c r="N6" s="187"/>
      <c r="O6" s="182" t="s">
        <v>23</v>
      </c>
    </row>
    <row r="7" spans="1:15" ht="49.5" customHeight="1" thickBot="1">
      <c r="A7" s="183"/>
      <c r="B7" s="183"/>
      <c r="C7" s="183"/>
      <c r="D7" s="183"/>
      <c r="E7" s="183"/>
      <c r="F7" s="183"/>
      <c r="G7" s="183"/>
      <c r="H7" s="183"/>
      <c r="I7" s="183"/>
      <c r="J7" s="13" t="s">
        <v>19</v>
      </c>
      <c r="K7" s="13" t="s">
        <v>20</v>
      </c>
      <c r="L7" s="13" t="s">
        <v>21</v>
      </c>
      <c r="M7" s="13" t="s">
        <v>28</v>
      </c>
      <c r="N7" s="13" t="s">
        <v>29</v>
      </c>
      <c r="O7" s="183"/>
    </row>
    <row r="8" spans="1:15" ht="24.95" customHeight="1" thickBot="1">
      <c r="A8" s="6">
        <v>1</v>
      </c>
      <c r="B8" s="5" t="s">
        <v>1</v>
      </c>
      <c r="C8" s="9">
        <v>3959</v>
      </c>
      <c r="D8" s="9">
        <v>4548</v>
      </c>
      <c r="E8" s="9"/>
      <c r="F8" s="7">
        <f>(5%*C8)</f>
        <v>197.95000000000002</v>
      </c>
      <c r="G8" s="7">
        <f>(5%*D8)</f>
        <v>227.4</v>
      </c>
      <c r="H8" s="7">
        <f>(5%*E8)</f>
        <v>0</v>
      </c>
      <c r="I8" s="7"/>
      <c r="J8" s="7"/>
      <c r="K8" s="7"/>
      <c r="L8" s="7"/>
      <c r="M8" s="7"/>
      <c r="N8" s="7"/>
      <c r="O8" s="5"/>
    </row>
    <row r="9" spans="1:15" ht="24.95" customHeight="1" thickBot="1">
      <c r="A9" s="2">
        <v>2</v>
      </c>
      <c r="B9" s="12" t="s">
        <v>2</v>
      </c>
      <c r="C9" s="10">
        <v>3467</v>
      </c>
      <c r="D9" s="10">
        <v>7894</v>
      </c>
      <c r="E9" s="10"/>
      <c r="F9" s="7">
        <f t="shared" ref="F9:F18" si="0">(5%*C9)</f>
        <v>173.35000000000002</v>
      </c>
      <c r="G9" s="7">
        <f t="shared" ref="G9:G18" si="1">(5%*D9)</f>
        <v>394.70000000000005</v>
      </c>
      <c r="H9" s="7">
        <f t="shared" ref="H9:H18" si="2">(5%*E9)</f>
        <v>0</v>
      </c>
      <c r="I9" s="8"/>
      <c r="J9" s="8"/>
      <c r="K9" s="8"/>
      <c r="L9" s="8"/>
      <c r="M9" s="8"/>
      <c r="N9" s="8"/>
      <c r="O9" s="1"/>
    </row>
    <row r="10" spans="1:15" ht="24.95" customHeight="1" thickBot="1">
      <c r="A10" s="2">
        <v>3</v>
      </c>
      <c r="B10" s="1" t="s">
        <v>3</v>
      </c>
      <c r="C10" s="9">
        <v>2975</v>
      </c>
      <c r="D10" s="10">
        <v>3982</v>
      </c>
      <c r="E10" s="10"/>
      <c r="F10" s="7">
        <f t="shared" si="0"/>
        <v>148.75</v>
      </c>
      <c r="G10" s="7">
        <f t="shared" si="1"/>
        <v>199.10000000000002</v>
      </c>
      <c r="H10" s="7">
        <f t="shared" si="2"/>
        <v>0</v>
      </c>
      <c r="I10" s="8"/>
      <c r="J10" s="8"/>
      <c r="K10" s="8"/>
      <c r="L10" s="8"/>
      <c r="M10" s="8"/>
      <c r="N10" s="8"/>
      <c r="O10" s="1"/>
    </row>
    <row r="11" spans="1:15" ht="24.95" customHeight="1" thickBot="1">
      <c r="A11" s="2">
        <v>4</v>
      </c>
      <c r="B11" s="1" t="s">
        <v>4</v>
      </c>
      <c r="C11" s="10">
        <v>2483</v>
      </c>
      <c r="D11" s="14">
        <v>4908.6666666666697</v>
      </c>
      <c r="E11" s="10"/>
      <c r="F11" s="7">
        <f t="shared" si="0"/>
        <v>124.15</v>
      </c>
      <c r="G11" s="17">
        <f t="shared" si="1"/>
        <v>245.43333333333351</v>
      </c>
      <c r="H11" s="7">
        <f t="shared" si="2"/>
        <v>0</v>
      </c>
      <c r="I11" s="8"/>
      <c r="J11" s="8"/>
      <c r="K11" s="8"/>
      <c r="L11" s="8"/>
      <c r="M11" s="8"/>
      <c r="N11" s="8"/>
      <c r="O11" s="1"/>
    </row>
    <row r="12" spans="1:15" ht="24.95" customHeight="1" thickBot="1">
      <c r="A12" s="2">
        <v>5</v>
      </c>
      <c r="B12" s="4" t="s">
        <v>5</v>
      </c>
      <c r="C12" s="9">
        <v>1991</v>
      </c>
      <c r="D12" s="15">
        <v>4625.6666666666697</v>
      </c>
      <c r="E12" s="10"/>
      <c r="F12" s="7">
        <f t="shared" si="0"/>
        <v>99.550000000000011</v>
      </c>
      <c r="G12" s="17">
        <f t="shared" si="1"/>
        <v>231.2833333333335</v>
      </c>
      <c r="H12" s="7">
        <f t="shared" si="2"/>
        <v>0</v>
      </c>
      <c r="I12" s="8"/>
      <c r="J12" s="8"/>
      <c r="K12" s="8"/>
      <c r="L12" s="8"/>
      <c r="M12" s="8"/>
      <c r="N12" s="8"/>
      <c r="O12" s="1"/>
    </row>
    <row r="13" spans="1:15" ht="24.95" customHeight="1" thickBot="1">
      <c r="A13" s="2">
        <v>6</v>
      </c>
      <c r="B13" s="3" t="s">
        <v>6</v>
      </c>
      <c r="C13" s="10">
        <v>1499</v>
      </c>
      <c r="D13" s="15">
        <v>4342.6666666666697</v>
      </c>
      <c r="E13" s="10"/>
      <c r="F13" s="7">
        <f t="shared" si="0"/>
        <v>74.95</v>
      </c>
      <c r="G13" s="17">
        <f t="shared" si="1"/>
        <v>217.1333333333335</v>
      </c>
      <c r="H13" s="7">
        <f t="shared" si="2"/>
        <v>0</v>
      </c>
      <c r="I13" s="8"/>
      <c r="J13" s="8"/>
      <c r="K13" s="8"/>
      <c r="L13" s="8"/>
      <c r="M13" s="8"/>
      <c r="N13" s="8"/>
      <c r="O13" s="1"/>
    </row>
    <row r="14" spans="1:15" ht="24.95" customHeight="1" thickBot="1">
      <c r="A14" s="2">
        <v>7</v>
      </c>
      <c r="B14" s="3" t="s">
        <v>7</v>
      </c>
      <c r="C14" s="9">
        <v>1007</v>
      </c>
      <c r="D14" s="14">
        <v>4059.6666666666702</v>
      </c>
      <c r="E14" s="10"/>
      <c r="F14" s="7">
        <f t="shared" si="0"/>
        <v>50.35</v>
      </c>
      <c r="G14" s="17">
        <f t="shared" si="1"/>
        <v>202.98333333333352</v>
      </c>
      <c r="H14" s="7">
        <f t="shared" si="2"/>
        <v>0</v>
      </c>
      <c r="I14" s="8"/>
      <c r="J14" s="8"/>
      <c r="K14" s="8"/>
      <c r="L14" s="8"/>
      <c r="M14" s="8"/>
      <c r="N14" s="8"/>
      <c r="O14" s="1"/>
    </row>
    <row r="15" spans="1:15" ht="24.95" customHeight="1" thickBot="1">
      <c r="A15" s="2">
        <v>8</v>
      </c>
      <c r="B15" s="3" t="s">
        <v>8</v>
      </c>
      <c r="C15" s="10">
        <v>515</v>
      </c>
      <c r="D15" s="15">
        <v>3776.6666666666702</v>
      </c>
      <c r="E15" s="10"/>
      <c r="F15" s="7">
        <f t="shared" si="0"/>
        <v>25.75</v>
      </c>
      <c r="G15" s="17">
        <f t="shared" si="1"/>
        <v>188.83333333333351</v>
      </c>
      <c r="H15" s="7">
        <f t="shared" si="2"/>
        <v>0</v>
      </c>
      <c r="I15" s="8"/>
      <c r="J15" s="8"/>
      <c r="K15" s="8"/>
      <c r="L15" s="8"/>
      <c r="M15" s="8"/>
      <c r="N15" s="8"/>
      <c r="O15" s="1"/>
    </row>
    <row r="16" spans="1:15" ht="24.95" customHeight="1" thickBot="1">
      <c r="A16" s="2">
        <v>9</v>
      </c>
      <c r="B16" s="3" t="s">
        <v>9</v>
      </c>
      <c r="C16" s="9">
        <v>23</v>
      </c>
      <c r="D16" s="15">
        <v>3493.6666666666702</v>
      </c>
      <c r="E16" s="10"/>
      <c r="F16" s="7">
        <f t="shared" si="0"/>
        <v>1.1500000000000001</v>
      </c>
      <c r="G16" s="17">
        <f t="shared" si="1"/>
        <v>174.68333333333351</v>
      </c>
      <c r="H16" s="7">
        <f t="shared" si="2"/>
        <v>0</v>
      </c>
      <c r="I16" s="8"/>
      <c r="J16" s="8"/>
      <c r="K16" s="8"/>
      <c r="L16" s="8"/>
      <c r="M16" s="8"/>
      <c r="N16" s="8"/>
      <c r="O16" s="1"/>
    </row>
    <row r="17" spans="1:15" ht="24.95" customHeight="1" thickBot="1">
      <c r="A17" s="2">
        <v>10</v>
      </c>
      <c r="B17" s="4" t="s">
        <v>10</v>
      </c>
      <c r="C17" s="10">
        <v>3959</v>
      </c>
      <c r="D17" s="14">
        <v>3210.6666666666702</v>
      </c>
      <c r="E17" s="10"/>
      <c r="F17" s="7">
        <f t="shared" si="0"/>
        <v>197.95000000000002</v>
      </c>
      <c r="G17" s="17">
        <f t="shared" si="1"/>
        <v>160.53333333333353</v>
      </c>
      <c r="H17" s="7">
        <f t="shared" si="2"/>
        <v>0</v>
      </c>
      <c r="I17" s="8"/>
      <c r="J17" s="8"/>
      <c r="K17" s="8"/>
      <c r="L17" s="8"/>
      <c r="M17" s="8"/>
      <c r="N17" s="8"/>
      <c r="O17" s="1"/>
    </row>
    <row r="18" spans="1:15" ht="24.95" customHeight="1" thickBot="1">
      <c r="A18" s="2">
        <v>11</v>
      </c>
      <c r="B18" s="3" t="s">
        <v>11</v>
      </c>
      <c r="C18" s="10">
        <v>3959</v>
      </c>
      <c r="D18" s="15">
        <v>2927.6666666666702</v>
      </c>
      <c r="E18" s="10"/>
      <c r="F18" s="7">
        <f t="shared" si="0"/>
        <v>197.95000000000002</v>
      </c>
      <c r="G18" s="17">
        <f t="shared" si="1"/>
        <v>146.38333333333352</v>
      </c>
      <c r="H18" s="7">
        <f t="shared" si="2"/>
        <v>0</v>
      </c>
      <c r="I18" s="8"/>
      <c r="J18" s="8"/>
      <c r="K18" s="8"/>
      <c r="L18" s="8"/>
      <c r="M18" s="8"/>
      <c r="N18" s="8"/>
      <c r="O18" s="1"/>
    </row>
    <row r="20" spans="1:15" ht="30">
      <c r="B20" s="11" t="s">
        <v>25</v>
      </c>
    </row>
    <row r="21" spans="1:15" ht="30">
      <c r="B21" s="11" t="s">
        <v>26</v>
      </c>
    </row>
    <row r="22" spans="1:15">
      <c r="B22" s="11" t="s">
        <v>27</v>
      </c>
    </row>
  </sheetData>
  <mergeCells count="14">
    <mergeCell ref="A6:A7"/>
    <mergeCell ref="B6:B7"/>
    <mergeCell ref="J6:N6"/>
    <mergeCell ref="C6:C7"/>
    <mergeCell ref="D6:D7"/>
    <mergeCell ref="E6:E7"/>
    <mergeCell ref="F6:F7"/>
    <mergeCell ref="G6:G7"/>
    <mergeCell ref="H6:H7"/>
    <mergeCell ref="B2:C2"/>
    <mergeCell ref="B3:C3"/>
    <mergeCell ref="B4:C4"/>
    <mergeCell ref="I6:I7"/>
    <mergeCell ref="O6:O7"/>
  </mergeCells>
  <pageMargins left="0.7" right="0.7" top="0.75" bottom="0.75" header="0.3" footer="0.3"/>
  <pageSetup scale="52" fitToHeight="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W48"/>
  <sheetViews>
    <sheetView zoomScale="85" zoomScaleNormal="85" workbookViewId="0">
      <selection activeCell="E10" sqref="E10:J10"/>
    </sheetView>
  </sheetViews>
  <sheetFormatPr defaultRowHeight="15"/>
  <cols>
    <col min="2" max="5" width="20.7109375" customWidth="1"/>
    <col min="6" max="13" width="10.7109375" customWidth="1"/>
    <col min="14" max="14" width="13.28515625" customWidth="1"/>
    <col min="15" max="18" width="10.7109375" customWidth="1"/>
    <col min="19" max="19" width="16.140625" customWidth="1"/>
    <col min="20" max="21" width="9.140625" customWidth="1"/>
    <col min="24" max="24" width="12.28515625" bestFit="1" customWidth="1"/>
  </cols>
  <sheetData>
    <row r="2" spans="1:22" ht="20.100000000000001" customHeight="1">
      <c r="B2" s="188" t="s">
        <v>13</v>
      </c>
      <c r="C2" s="189"/>
      <c r="D2" s="18">
        <v>3250.7</v>
      </c>
    </row>
    <row r="3" spans="1:22" ht="20.100000000000001" customHeight="1">
      <c r="B3" s="188" t="s">
        <v>14</v>
      </c>
      <c r="C3" s="189"/>
      <c r="D3" s="18">
        <v>5125</v>
      </c>
    </row>
    <row r="4" spans="1:22" ht="20.100000000000001" customHeight="1">
      <c r="B4" s="188" t="s">
        <v>18</v>
      </c>
      <c r="C4" s="189"/>
      <c r="D4" s="19"/>
    </row>
    <row r="5" spans="1:22" ht="20.100000000000001" customHeight="1"/>
    <row r="6" spans="1:22" ht="35.25" customHeight="1">
      <c r="B6" s="203" t="s">
        <v>24</v>
      </c>
      <c r="C6" s="204"/>
      <c r="D6" s="18">
        <f>(55%*D3)</f>
        <v>2818.7500000000005</v>
      </c>
    </row>
    <row r="7" spans="1:22" ht="20.100000000000001" customHeight="1" thickBot="1"/>
    <row r="8" spans="1:22" ht="30" customHeight="1" thickBot="1">
      <c r="A8" s="182" t="s">
        <v>22</v>
      </c>
      <c r="B8" s="182" t="s">
        <v>12</v>
      </c>
      <c r="C8" s="182" t="s">
        <v>17</v>
      </c>
      <c r="D8" s="182" t="s">
        <v>16</v>
      </c>
      <c r="E8" s="182" t="s">
        <v>15</v>
      </c>
      <c r="F8" s="185" t="s">
        <v>0</v>
      </c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7"/>
      <c r="S8" s="182" t="s">
        <v>23</v>
      </c>
    </row>
    <row r="9" spans="1:22" ht="49.5" customHeight="1" thickBot="1">
      <c r="A9" s="183"/>
      <c r="B9" s="183"/>
      <c r="C9" s="183"/>
      <c r="D9" s="184"/>
      <c r="E9" s="183"/>
      <c r="F9" s="13" t="s">
        <v>31</v>
      </c>
      <c r="G9" s="13"/>
      <c r="H9" s="13"/>
      <c r="I9" s="13"/>
      <c r="J9" s="13" t="s">
        <v>20</v>
      </c>
      <c r="K9" s="13"/>
      <c r="L9" s="13" t="s">
        <v>21</v>
      </c>
      <c r="M9" s="13"/>
      <c r="N9" s="13" t="s">
        <v>28</v>
      </c>
      <c r="O9" s="13"/>
      <c r="P9" s="13"/>
      <c r="Q9" s="13" t="s">
        <v>29</v>
      </c>
      <c r="R9" s="13"/>
      <c r="S9" s="183"/>
    </row>
    <row r="10" spans="1:22" ht="24.95" customHeight="1" thickBot="1">
      <c r="A10" s="6">
        <v>1</v>
      </c>
      <c r="B10" s="5" t="s">
        <v>1</v>
      </c>
      <c r="C10" s="16">
        <f t="shared" ref="C10:C20" si="0">(5%*$C$32)</f>
        <v>117.15474999999999</v>
      </c>
      <c r="D10" s="7">
        <f>(5%*D3)</f>
        <v>256.25</v>
      </c>
      <c r="E10" s="7">
        <f>(5%*D4)</f>
        <v>0</v>
      </c>
      <c r="F10" s="51">
        <v>4.5999999999999996</v>
      </c>
      <c r="G10" s="32">
        <f>F10/MAX($F$10:$F$20)</f>
        <v>0.88461538461538447</v>
      </c>
      <c r="H10" s="40">
        <f>(($C$23/4)/SUM(G10:G20)*($F$10/MAX($F$10:$F$20)))</f>
        <v>52.229106770833326</v>
      </c>
      <c r="I10" s="40">
        <f>F21*(F10/SUM(F10:F20))</f>
        <v>52.229106770833333</v>
      </c>
      <c r="J10" s="53">
        <v>52.3</v>
      </c>
      <c r="K10" s="39">
        <f>$J$21*($J$10/SUM($J$10:$J$20))</f>
        <v>52.849444955191593</v>
      </c>
      <c r="L10" s="53">
        <v>61.3</v>
      </c>
      <c r="M10" s="33">
        <f>$L$21*($L$10/SUM($L$10:$L$20))</f>
        <v>44.505055533969802</v>
      </c>
      <c r="N10" s="55">
        <v>479703.83333333331</v>
      </c>
      <c r="O10" s="40">
        <f>$N$10/SUM($N$10:$N$20)</f>
        <v>0.1014712081438757</v>
      </c>
      <c r="P10" s="40">
        <f>$L$21*($N$10/SUM($N$10:$N$20))</f>
        <v>49.77157051701645</v>
      </c>
      <c r="Q10" s="55"/>
      <c r="R10" s="55"/>
      <c r="S10" s="44">
        <f>SUM(C10,I10,K10,M10,P10)</f>
        <v>316.50992777701117</v>
      </c>
      <c r="T10" s="20"/>
      <c r="U10" s="20"/>
      <c r="V10" s="21"/>
    </row>
    <row r="11" spans="1:22" ht="24.95" customHeight="1" thickBot="1">
      <c r="A11" s="2">
        <v>2</v>
      </c>
      <c r="B11" s="12" t="s">
        <v>2</v>
      </c>
      <c r="C11" s="16">
        <f t="shared" si="0"/>
        <v>117.15474999999999</v>
      </c>
      <c r="D11" s="7">
        <f>(5%*D3)</f>
        <v>256.25</v>
      </c>
      <c r="E11" s="7">
        <f>(5%*D4)</f>
        <v>0</v>
      </c>
      <c r="F11" s="52">
        <v>3.9</v>
      </c>
      <c r="G11" s="32">
        <f t="shared" ref="G11:G20" si="1">F11/MAX($F$10:$F$20)</f>
        <v>0.75</v>
      </c>
      <c r="H11" s="40">
        <f>($F$21/$G$21)*($F$11/MAX($F$10:$F$20))</f>
        <v>44.281199218749997</v>
      </c>
      <c r="I11" s="40">
        <f>F21*(F11/SUM(F10:F20))</f>
        <v>44.281199218750004</v>
      </c>
      <c r="J11" s="54">
        <v>48.2</v>
      </c>
      <c r="K11" s="39">
        <f>$J$21*($J$11/SUM($J$10:$J$20))</f>
        <v>48.706371832509276</v>
      </c>
      <c r="L11" s="54">
        <v>64.2</v>
      </c>
      <c r="M11" s="33">
        <f>$L$21*($L$11/SUM($L$10:$L$20))</f>
        <v>46.61051493117229</v>
      </c>
      <c r="N11" s="56">
        <v>646820.41666666663</v>
      </c>
      <c r="O11" s="40">
        <f>$N$11/SUM($N$10:$N$20)</f>
        <v>0.1368211895978006</v>
      </c>
      <c r="P11" s="40">
        <f>$L$21*($N$11/SUM($N$10:$N$20))</f>
        <v>67.110716535802041</v>
      </c>
      <c r="Q11" s="55"/>
      <c r="R11" s="55"/>
      <c r="S11" s="44">
        <f t="shared" ref="S11:S20" si="2">SUM(C11,I11,K11,M11,P11)</f>
        <v>323.86355251823363</v>
      </c>
      <c r="T11" s="20"/>
      <c r="U11" s="20"/>
      <c r="V11" s="21"/>
    </row>
    <row r="12" spans="1:22" ht="24.95" customHeight="1" thickBot="1">
      <c r="A12" s="2">
        <v>3</v>
      </c>
      <c r="B12" s="1" t="s">
        <v>3</v>
      </c>
      <c r="C12" s="16">
        <f t="shared" si="0"/>
        <v>117.15474999999999</v>
      </c>
      <c r="D12" s="7">
        <f>(5%*D3)</f>
        <v>256.25</v>
      </c>
      <c r="E12" s="7">
        <f>(5%*D4)</f>
        <v>0</v>
      </c>
      <c r="F12" s="52">
        <v>5.2</v>
      </c>
      <c r="G12" s="32">
        <f t="shared" si="1"/>
        <v>1</v>
      </c>
      <c r="H12" s="40">
        <f>($F$21/$G$21)*($F$12/MAX($F$10:$F$20))</f>
        <v>59.041598958333331</v>
      </c>
      <c r="I12" s="40">
        <f>F21*(F12/SUM(F10:F20))</f>
        <v>59.041598958333346</v>
      </c>
      <c r="J12" s="54">
        <v>46.7</v>
      </c>
      <c r="K12" s="39">
        <f>$J$21*($J$12/SUM($J$10:$J$20))</f>
        <v>47.190613372991358</v>
      </c>
      <c r="L12" s="54">
        <v>78.7</v>
      </c>
      <c r="M12" s="33">
        <f>$L$21*($L$12/SUM($L$10:$L$20))</f>
        <v>57.13781191718472</v>
      </c>
      <c r="N12" s="56">
        <v>291745.83333333331</v>
      </c>
      <c r="O12" s="40">
        <f>$N$12/SUM($N$10:$N$20)</f>
        <v>6.1712665445189899E-2</v>
      </c>
      <c r="P12" s="40">
        <f>$L$21*($N$12/SUM($N$10:$N$20))</f>
        <v>30.270027687491332</v>
      </c>
      <c r="Q12" s="55"/>
      <c r="R12" s="55"/>
      <c r="S12" s="44">
        <f t="shared" si="2"/>
        <v>310.79480193600074</v>
      </c>
      <c r="T12" s="20"/>
      <c r="U12" s="20"/>
      <c r="V12" s="21"/>
    </row>
    <row r="13" spans="1:22" ht="24.95" customHeight="1" thickBot="1">
      <c r="A13" s="2">
        <v>4</v>
      </c>
      <c r="B13" s="4" t="s">
        <v>5</v>
      </c>
      <c r="C13" s="16">
        <f t="shared" si="0"/>
        <v>117.15474999999999</v>
      </c>
      <c r="D13" s="7">
        <f>(5%*D3)</f>
        <v>256.25</v>
      </c>
      <c r="E13" s="7">
        <f>(5%*D4)</f>
        <v>0</v>
      </c>
      <c r="F13" s="52">
        <v>3</v>
      </c>
      <c r="G13" s="32">
        <f t="shared" si="1"/>
        <v>0.57692307692307687</v>
      </c>
      <c r="H13" s="40">
        <f>($F$21/$G$21)*($F$13/MAX($F$10:$F$20))</f>
        <v>34.062460937499999</v>
      </c>
      <c r="I13" s="40">
        <f>F21*(F13/SUM(F10:F20))</f>
        <v>34.062460937499999</v>
      </c>
      <c r="J13" s="54">
        <v>39.9</v>
      </c>
      <c r="K13" s="39">
        <f>$J$21*($J$13/SUM($J$10:$J$20))</f>
        <v>40.319175023176761</v>
      </c>
      <c r="L13" s="54">
        <v>57.4</v>
      </c>
      <c r="M13" s="33">
        <f>$L$21*($L$13/SUM($L$10:$L$20))</f>
        <v>41.673575654973355</v>
      </c>
      <c r="N13" s="56">
        <v>486322.58333333331</v>
      </c>
      <c r="O13" s="40">
        <f>$N$13/SUM($N$10:$N$20)</f>
        <v>0.10287126482934227</v>
      </c>
      <c r="P13" s="40">
        <f>$L$21*($N$13/SUM($N$10:$N$20))</f>
        <v>50.458297533705917</v>
      </c>
      <c r="Q13" s="55"/>
      <c r="R13" s="55"/>
      <c r="S13" s="44">
        <f t="shared" si="2"/>
        <v>283.668259149356</v>
      </c>
      <c r="T13" s="20"/>
      <c r="U13" s="20"/>
      <c r="V13" s="21"/>
    </row>
    <row r="14" spans="1:22" ht="24.95" customHeight="1" thickBot="1">
      <c r="A14" s="2">
        <v>5</v>
      </c>
      <c r="B14" s="3" t="s">
        <v>6</v>
      </c>
      <c r="C14" s="16">
        <f t="shared" si="0"/>
        <v>117.15474999999999</v>
      </c>
      <c r="D14" s="7">
        <f>(5%*D3)</f>
        <v>256.25</v>
      </c>
      <c r="E14" s="7">
        <f>(5%*D4)</f>
        <v>0</v>
      </c>
      <c r="F14" s="52">
        <v>4.0999999999999996</v>
      </c>
      <c r="G14" s="32">
        <f t="shared" si="1"/>
        <v>0.78846153846153832</v>
      </c>
      <c r="H14" s="40">
        <f>($F$21/$G$21)*($F$14/MAX($F$10:$F$20))</f>
        <v>46.552029947916658</v>
      </c>
      <c r="I14" s="40">
        <f>F21*(F14/SUM(F10:F20))</f>
        <v>46.552029947916672</v>
      </c>
      <c r="J14" s="54">
        <v>51.4</v>
      </c>
      <c r="K14" s="39">
        <f>$J$21*($J$14/SUM($J$10:$J$20))</f>
        <v>51.939989879480841</v>
      </c>
      <c r="L14" s="54">
        <v>60.1</v>
      </c>
      <c r="M14" s="33">
        <f>$L$21*($L$14/SUM($L$10:$L$20))</f>
        <v>43.633830955817054</v>
      </c>
      <c r="N14" s="56">
        <v>869430.83333333337</v>
      </c>
      <c r="O14" s="40">
        <f>$N$14/SUM($N$10:$N$20)</f>
        <v>0.1839097187171459</v>
      </c>
      <c r="P14" s="40">
        <f>$L$21*($N$14/SUM($N$10:$N$20))</f>
        <v>90.207613581543285</v>
      </c>
      <c r="Q14" s="55"/>
      <c r="R14" s="55"/>
      <c r="S14" s="44">
        <f t="shared" si="2"/>
        <v>349.48821436475782</v>
      </c>
      <c r="T14" s="20"/>
      <c r="U14" s="20"/>
      <c r="V14" s="21"/>
    </row>
    <row r="15" spans="1:22" ht="24.95" customHeight="1" thickBot="1">
      <c r="A15" s="2">
        <v>6</v>
      </c>
      <c r="B15" s="1" t="s">
        <v>4</v>
      </c>
      <c r="C15" s="16">
        <f t="shared" si="0"/>
        <v>117.15474999999999</v>
      </c>
      <c r="D15" s="7">
        <f>(5%*D3)</f>
        <v>256.25</v>
      </c>
      <c r="E15" s="7">
        <f>(5%*D4)</f>
        <v>0</v>
      </c>
      <c r="F15" s="52">
        <v>3.5</v>
      </c>
      <c r="G15" s="32">
        <f t="shared" si="1"/>
        <v>0.67307692307692302</v>
      </c>
      <c r="H15" s="40">
        <f>($F$21/$G$21)*($F$15/MAX($F$10:$F$20))</f>
        <v>39.73953776041666</v>
      </c>
      <c r="I15" s="40">
        <f>F21*(F15/SUM(F10:F20))</f>
        <v>39.739537760416674</v>
      </c>
      <c r="J15" s="53">
        <v>43.9</v>
      </c>
      <c r="K15" s="39">
        <f>$J$21*($J$15/SUM($J$10:$J$20))</f>
        <v>44.361197581891226</v>
      </c>
      <c r="L15" s="54">
        <v>74.2</v>
      </c>
      <c r="M15" s="33">
        <f>$L$21*($L$15/SUM($L$10:$L$20))</f>
        <v>53.870719749111899</v>
      </c>
      <c r="N15" s="56">
        <v>438837.07946975</v>
      </c>
      <c r="O15" s="40">
        <f>$N$15/SUM($N$10:$N$20)</f>
        <v>9.2826710019603464E-2</v>
      </c>
      <c r="P15" s="40">
        <f>$L$21*($N$15/SUM($N$10:$N$20))</f>
        <v>45.53144904959111</v>
      </c>
      <c r="Q15" s="55"/>
      <c r="R15" s="55"/>
      <c r="S15" s="44">
        <f t="shared" si="2"/>
        <v>300.65765414101088</v>
      </c>
      <c r="T15" s="20"/>
      <c r="U15" s="20"/>
      <c r="V15" s="21"/>
    </row>
    <row r="16" spans="1:22" ht="24.95" customHeight="1" thickBot="1">
      <c r="A16" s="2">
        <v>7</v>
      </c>
      <c r="B16" s="3" t="s">
        <v>7</v>
      </c>
      <c r="C16" s="16">
        <f t="shared" si="0"/>
        <v>117.15474999999999</v>
      </c>
      <c r="D16" s="7">
        <f>(5%*D3)</f>
        <v>256.25</v>
      </c>
      <c r="E16" s="7">
        <f>(5%*D4)</f>
        <v>0</v>
      </c>
      <c r="F16" s="52">
        <v>3.6</v>
      </c>
      <c r="G16" s="32">
        <f t="shared" si="1"/>
        <v>0.69230769230769229</v>
      </c>
      <c r="H16" s="40">
        <f>($F$21/$G$21)*($F$16/MAX($F$10:$F$20))</f>
        <v>40.874953124999998</v>
      </c>
      <c r="I16" s="40">
        <f>F21*(F16/SUM(F10:F20))</f>
        <v>40.874953125000005</v>
      </c>
      <c r="J16" s="54">
        <v>42.8</v>
      </c>
      <c r="K16" s="39">
        <f>$J$21*($J$16/SUM($J$10:$J$20))</f>
        <v>43.249641378244746</v>
      </c>
      <c r="L16" s="54">
        <v>76.3</v>
      </c>
      <c r="M16" s="33">
        <f>$L$21*($L$16/SUM($L$10:$L$20))</f>
        <v>55.395362760879216</v>
      </c>
      <c r="N16" s="56">
        <v>325780.60810810811</v>
      </c>
      <c r="O16" s="40">
        <f>$N$16/SUM($N$10:$N$20)</f>
        <v>6.8912002776524761E-2</v>
      </c>
      <c r="P16" s="40">
        <f>$L$21*($N$16/SUM($N$10:$N$20))</f>
        <v>33.801298598883832</v>
      </c>
      <c r="Q16" s="55"/>
      <c r="R16" s="55"/>
      <c r="S16" s="44">
        <f t="shared" si="2"/>
        <v>290.4760058630078</v>
      </c>
      <c r="T16" s="20"/>
      <c r="U16" s="20"/>
      <c r="V16" s="21"/>
    </row>
    <row r="17" spans="1:22" ht="24.95" customHeight="1" thickBot="1">
      <c r="A17" s="2">
        <v>8</v>
      </c>
      <c r="B17" s="3" t="s">
        <v>8</v>
      </c>
      <c r="C17" s="16">
        <f t="shared" si="0"/>
        <v>117.15474999999999</v>
      </c>
      <c r="D17" s="7">
        <f>(5%*D3)</f>
        <v>256.25</v>
      </c>
      <c r="E17" s="7">
        <f>(5%*D4)</f>
        <v>0</v>
      </c>
      <c r="F17" s="52">
        <v>2.9</v>
      </c>
      <c r="G17" s="32">
        <f t="shared" si="1"/>
        <v>0.55769230769230771</v>
      </c>
      <c r="H17" s="40">
        <f>($F$21/$G$21)*($F$17/MAX($F$10:$F$20))</f>
        <v>32.927045572916668</v>
      </c>
      <c r="I17" s="40">
        <f>F21*(F17/SUM(F10:F20))</f>
        <v>32.927045572916668</v>
      </c>
      <c r="J17" s="54">
        <v>41.7</v>
      </c>
      <c r="K17" s="39">
        <f>$J$21*($J$17/SUM($J$10:$J$20))</f>
        <v>42.138085174598274</v>
      </c>
      <c r="L17" s="54">
        <v>52.3</v>
      </c>
      <c r="M17" s="33">
        <f>$L$21*($L$17/SUM($L$10:$L$20))</f>
        <v>37.970871197824152</v>
      </c>
      <c r="N17" s="56">
        <v>313725.16666666669</v>
      </c>
      <c r="O17" s="40">
        <f>$N$17/SUM($N$10:$N$20)</f>
        <v>6.6361928912677226E-2</v>
      </c>
      <c r="P17" s="40">
        <f>$L$21*($N$17/SUM($N$10:$N$20))</f>
        <v>32.550488803083169</v>
      </c>
      <c r="Q17" s="55"/>
      <c r="R17" s="55"/>
      <c r="S17" s="44">
        <f t="shared" si="2"/>
        <v>262.74124074842223</v>
      </c>
      <c r="T17" s="20"/>
      <c r="U17" s="20"/>
      <c r="V17" s="21"/>
    </row>
    <row r="18" spans="1:22" ht="24.95" customHeight="1" thickBot="1">
      <c r="A18" s="2">
        <v>9</v>
      </c>
      <c r="B18" s="3" t="s">
        <v>9</v>
      </c>
      <c r="C18" s="16">
        <f t="shared" si="0"/>
        <v>117.15474999999999</v>
      </c>
      <c r="D18" s="7">
        <f>(5%*D3)</f>
        <v>256.25</v>
      </c>
      <c r="E18" s="7">
        <f>(5%*D4)</f>
        <v>0</v>
      </c>
      <c r="F18" s="52">
        <v>4.3</v>
      </c>
      <c r="G18" s="32">
        <f t="shared" si="1"/>
        <v>0.82692307692307687</v>
      </c>
      <c r="H18" s="40">
        <f>($F$21/$G$21)*($F$18/MAX($F$10:$F$20))</f>
        <v>48.822860677083327</v>
      </c>
      <c r="I18" s="40">
        <f>F21*(F18/SUM(F10:F20))</f>
        <v>48.822860677083341</v>
      </c>
      <c r="J18" s="54">
        <v>40.6</v>
      </c>
      <c r="K18" s="39">
        <f>$J$21*($J$18/SUM($J$10:$J$20))</f>
        <v>41.026528970951794</v>
      </c>
      <c r="L18" s="54">
        <v>54.6</v>
      </c>
      <c r="M18" s="33">
        <f>$L$21*($L$18/SUM($L$10:$L$20))</f>
        <v>39.640718305950266</v>
      </c>
      <c r="N18" s="56">
        <v>314261.75</v>
      </c>
      <c r="O18" s="40">
        <f>$N$18/SUM($N$10:$N$20)</f>
        <v>6.6475431776985935E-2</v>
      </c>
      <c r="P18" s="40">
        <f>$L$21*($N$18/SUM($N$10:$N$20))</f>
        <v>32.606161894181227</v>
      </c>
      <c r="Q18" s="55"/>
      <c r="R18" s="55"/>
      <c r="S18" s="44">
        <f t="shared" si="2"/>
        <v>279.25101984816661</v>
      </c>
      <c r="T18" s="20"/>
      <c r="U18" s="20"/>
      <c r="V18" s="21"/>
    </row>
    <row r="19" spans="1:22" ht="24.95" customHeight="1" thickBot="1">
      <c r="A19" s="2">
        <v>10</v>
      </c>
      <c r="B19" s="4" t="s">
        <v>10</v>
      </c>
      <c r="C19" s="16">
        <f t="shared" si="0"/>
        <v>117.15474999999999</v>
      </c>
      <c r="D19" s="7">
        <f>(5%*D3)</f>
        <v>256.25</v>
      </c>
      <c r="E19" s="7">
        <f>(5%*D4)</f>
        <v>0</v>
      </c>
      <c r="F19" s="52">
        <v>3.7</v>
      </c>
      <c r="G19" s="32">
        <f t="shared" si="1"/>
        <v>0.71153846153846156</v>
      </c>
      <c r="H19" s="40">
        <f>($F$21/$G$21)*($F$19/MAX($F$10:$F$20))</f>
        <v>42.010368489583335</v>
      </c>
      <c r="I19" s="40">
        <f>F21*(F19/SUM(F10:F20))</f>
        <v>42.010368489583335</v>
      </c>
      <c r="J19" s="54">
        <v>39.5</v>
      </c>
      <c r="K19" s="39">
        <f>$J$21*($J$19/SUM($J$10:$J$20))</f>
        <v>39.914972767305322</v>
      </c>
      <c r="L19" s="54">
        <v>45.8</v>
      </c>
      <c r="M19" s="33">
        <f>$L$21*($L$19/SUM($L$10:$L$20))</f>
        <v>33.251738066163405</v>
      </c>
      <c r="N19" s="56">
        <v>271894.41666666669</v>
      </c>
      <c r="O19" s="40">
        <f>$N$19/SUM($N$10:$N$20)</f>
        <v>5.7513517778311832E-2</v>
      </c>
      <c r="P19" s="40">
        <f>$L$21*($N$19/SUM($N$10:$N$20))</f>
        <v>28.210348118908204</v>
      </c>
      <c r="Q19" s="55"/>
      <c r="R19" s="55"/>
      <c r="S19" s="44">
        <f t="shared" si="2"/>
        <v>260.54217744196029</v>
      </c>
      <c r="T19" s="20"/>
      <c r="U19" s="20"/>
      <c r="V19" s="21"/>
    </row>
    <row r="20" spans="1:22" ht="24.95" customHeight="1" thickBot="1">
      <c r="A20" s="2">
        <v>11</v>
      </c>
      <c r="B20" s="3" t="s">
        <v>11</v>
      </c>
      <c r="C20" s="16">
        <f t="shared" si="0"/>
        <v>117.15474999999999</v>
      </c>
      <c r="D20" s="7">
        <f>(5%*D3)</f>
        <v>256.25</v>
      </c>
      <c r="E20" s="7">
        <f>(5%*D4)</f>
        <v>0</v>
      </c>
      <c r="F20" s="52">
        <v>4.4000000000000004</v>
      </c>
      <c r="G20" s="32">
        <f t="shared" si="1"/>
        <v>0.84615384615384615</v>
      </c>
      <c r="H20" s="40">
        <f>($F$21/$G$21)*($F$20/MAX($F$10:$F$20))</f>
        <v>49.958276041666664</v>
      </c>
      <c r="I20" s="40">
        <f>F21*(F20/SUM(F10:F20))</f>
        <v>49.958276041666679</v>
      </c>
      <c r="J20" s="53">
        <v>38.4</v>
      </c>
      <c r="K20" s="39">
        <f>$J$21*($J$20/SUM($J$10:$J$20))</f>
        <v>38.803416563658843</v>
      </c>
      <c r="L20" s="54">
        <v>50.7</v>
      </c>
      <c r="M20" s="33">
        <f>$L$21*($L$20/SUM($L$10:$L$20))</f>
        <v>36.809238426953819</v>
      </c>
      <c r="N20" s="56">
        <v>288964.63636363635</v>
      </c>
      <c r="O20" s="40">
        <f>$N$20/SUM($N$10:$N$20)</f>
        <v>6.1124362002542329E-2</v>
      </c>
      <c r="P20" s="40">
        <f>$L$21*($N$20/SUM($N$10:$N$20))</f>
        <v>29.981465179793386</v>
      </c>
      <c r="Q20" s="55"/>
      <c r="R20" s="55"/>
      <c r="S20" s="44">
        <f t="shared" si="2"/>
        <v>272.7071462120727</v>
      </c>
      <c r="T20" s="20"/>
      <c r="U20" s="20"/>
      <c r="V20" s="21"/>
    </row>
    <row r="21" spans="1:22" ht="30" customHeight="1">
      <c r="B21" s="24" t="str">
        <f xml:space="preserve"> "55% OF TOTAL"</f>
        <v>55% OF TOTAL</v>
      </c>
      <c r="C21" s="25">
        <f>SUM(C10:C20)</f>
        <v>1288.7022499999998</v>
      </c>
      <c r="D21" s="25">
        <f>SUM(D10:D20)</f>
        <v>2818.75</v>
      </c>
      <c r="F21" s="34">
        <f>C23/4</f>
        <v>490.4994375</v>
      </c>
      <c r="G21" s="35">
        <f>SUM(G10:G20)</f>
        <v>8.3076923076923084</v>
      </c>
      <c r="H21" s="37">
        <f>SUM(H10:H20)</f>
        <v>490.4994375</v>
      </c>
      <c r="I21" s="50">
        <f>IF((SUM(All_LRF)=J21),J21,"ERROR IN REMAINDER")</f>
        <v>490.4994375</v>
      </c>
      <c r="J21" s="34">
        <f>C23/4</f>
        <v>490.4994375</v>
      </c>
      <c r="K21" s="49">
        <f>IF((SUM(All_Based_Metering)=J21),J21,"ERROR")</f>
        <v>490.4994375</v>
      </c>
      <c r="L21" s="34">
        <f>C23/4</f>
        <v>490.4994375</v>
      </c>
      <c r="M21" s="49">
        <f>IF((SUM(All_Based_NtwkExpsn)=L21),L21,"ERROR")</f>
        <v>490.4994375</v>
      </c>
      <c r="N21" s="37">
        <f>SUM(N10:N20)</f>
        <v>4727487.1572748283</v>
      </c>
      <c r="O21" s="37">
        <f>SUM(O10:O20)</f>
        <v>0.99999999999999978</v>
      </c>
      <c r="P21" s="50">
        <f>IF((SUM(P10:P20)=L21),L21,"ERROR")</f>
        <v>490.4994375</v>
      </c>
      <c r="Q21" s="50"/>
      <c r="R21" s="36"/>
      <c r="S21" s="45">
        <f>SUM(S10:S20)</f>
        <v>3250.6999999999994</v>
      </c>
      <c r="T21" s="20"/>
      <c r="U21" s="20"/>
    </row>
    <row r="22" spans="1:22" ht="30" customHeight="1">
      <c r="B22" s="26" t="s">
        <v>30</v>
      </c>
      <c r="C22" s="25">
        <f>((C21/D2)*100)</f>
        <v>39.643838250223027</v>
      </c>
      <c r="D22" s="24">
        <f>((D21/D3)*100)</f>
        <v>55.000000000000007</v>
      </c>
      <c r="H22" s="38"/>
      <c r="I22" s="38"/>
      <c r="M22" s="43"/>
      <c r="S22" s="57" t="str">
        <f>IF(S21=D2,"ALLOCATION BALANCED","ALLOCATION NOT BALANCED")</f>
        <v>ALLOCATION BALANCED</v>
      </c>
      <c r="T22" s="20"/>
      <c r="U22" s="20"/>
    </row>
    <row r="23" spans="1:22" ht="30" customHeight="1">
      <c r="B23" s="30" t="s">
        <v>32</v>
      </c>
      <c r="C23" s="23">
        <f>D2-C21</f>
        <v>1961.99775</v>
      </c>
      <c r="D23" s="23">
        <f>D3-D21</f>
        <v>2306.25</v>
      </c>
      <c r="H23" s="41"/>
      <c r="I23" s="41"/>
    </row>
    <row r="24" spans="1:22" ht="30" customHeight="1">
      <c r="B24" s="30"/>
      <c r="C24" s="23"/>
      <c r="D24" s="23"/>
      <c r="H24" s="41"/>
      <c r="I24" s="41"/>
    </row>
    <row r="25" spans="1:22" ht="48" customHeight="1">
      <c r="B25" s="30"/>
      <c r="C25" s="23"/>
      <c r="D25" s="22"/>
    </row>
    <row r="26" spans="1:22" ht="30" customHeight="1">
      <c r="B26" s="11" t="s">
        <v>25</v>
      </c>
      <c r="C26" s="23">
        <f>(10%*D2)</f>
        <v>325.07</v>
      </c>
    </row>
    <row r="27" spans="1:22" ht="30" customHeight="1">
      <c r="B27" s="11" t="s">
        <v>26</v>
      </c>
      <c r="C27" s="23">
        <f>(5%*D2)</f>
        <v>162.535</v>
      </c>
    </row>
    <row r="28" spans="1:22" ht="30" customHeight="1">
      <c r="B28" s="11" t="s">
        <v>27</v>
      </c>
      <c r="C28" s="22">
        <v>260</v>
      </c>
    </row>
    <row r="29" spans="1:22" ht="30" customHeight="1">
      <c r="B29" s="11" t="s">
        <v>37</v>
      </c>
      <c r="C29" s="22">
        <v>160</v>
      </c>
    </row>
    <row r="30" spans="1:22" ht="30" customHeight="1">
      <c r="B30" s="46" t="s">
        <v>36</v>
      </c>
      <c r="C30" s="47">
        <f>SUM(C26:C29)</f>
        <v>907.60500000000002</v>
      </c>
    </row>
    <row r="31" spans="1:22" ht="30" customHeight="1"/>
    <row r="32" spans="1:22" ht="30" customHeight="1">
      <c r="C32" s="48">
        <f>D2-C30</f>
        <v>2343.0949999999998</v>
      </c>
    </row>
    <row r="33" spans="3:23" ht="30" customHeight="1">
      <c r="C33" s="48">
        <f>C23-C30</f>
        <v>1054.39275</v>
      </c>
    </row>
    <row r="35" spans="3:23" ht="61.5" customHeight="1">
      <c r="H35" s="41">
        <f>F21*((F14/F12)/(SUM(F10:F20)/MAX(F10:F20)))</f>
        <v>46.552029947916665</v>
      </c>
      <c r="I35" s="41"/>
      <c r="P35" s="31" t="s">
        <v>33</v>
      </c>
      <c r="Q35" s="31" t="s">
        <v>34</v>
      </c>
      <c r="R35" s="31"/>
      <c r="S35" s="31" t="s">
        <v>35</v>
      </c>
      <c r="T35" s="31"/>
      <c r="U35" s="31" t="s">
        <v>21</v>
      </c>
    </row>
    <row r="36" spans="3:23">
      <c r="F36">
        <v>1.2</v>
      </c>
      <c r="I36" s="42"/>
      <c r="J36" s="21">
        <f t="shared" ref="J36:J46" si="3">J10/100</f>
        <v>0.52300000000000002</v>
      </c>
      <c r="K36" s="21"/>
      <c r="L36">
        <v>0.61</v>
      </c>
      <c r="N36" s="21">
        <v>0.1014712081438757</v>
      </c>
      <c r="P36" s="21">
        <f>N36*C23</f>
        <v>199.0862820680658</v>
      </c>
      <c r="Q36" s="21">
        <f>(N36*D23)</f>
        <v>234.01797378181331</v>
      </c>
      <c r="R36" s="21"/>
      <c r="S36" s="21">
        <f>(F36*J36*L36*N36*C23)</f>
        <v>76.217395881810035</v>
      </c>
      <c r="T36">
        <f>(S36/C23)*100</f>
        <v>3.8846831440968796</v>
      </c>
      <c r="U36" s="21">
        <f>(F36*J36*L36*N36*D23)</f>
        <v>89.590505010734276</v>
      </c>
      <c r="W36" s="21">
        <f t="shared" ref="W36:W46" si="4">C10+S36</f>
        <v>193.37214588181001</v>
      </c>
    </row>
    <row r="37" spans="3:23">
      <c r="F37">
        <v>0.8</v>
      </c>
      <c r="I37" s="42"/>
      <c r="J37" s="21">
        <f t="shared" si="3"/>
        <v>0.48200000000000004</v>
      </c>
      <c r="K37" s="21"/>
      <c r="L37">
        <v>0.64</v>
      </c>
      <c r="N37" s="21">
        <v>0.1368211895978006</v>
      </c>
      <c r="P37" s="21">
        <f>N37*C23</f>
        <v>268.44286614320816</v>
      </c>
      <c r="Q37" s="21">
        <f>(N37*D23)</f>
        <v>315.54386850992762</v>
      </c>
      <c r="R37" s="21"/>
      <c r="S37" s="21">
        <f>(F37*J37*L37*N37*C23)</f>
        <v>66.247404278285487</v>
      </c>
      <c r="T37">
        <f>(S37/C23)*100</f>
        <v>3.3765280453703626</v>
      </c>
      <c r="U37" s="21">
        <f>(F37*J37*L37*N37*D23)</f>
        <v>77.87117804635399</v>
      </c>
      <c r="W37" s="21">
        <f t="shared" si="4"/>
        <v>183.40215427828548</v>
      </c>
    </row>
    <row r="38" spans="3:23">
      <c r="F38">
        <v>1.1000000000000001</v>
      </c>
      <c r="I38" s="42"/>
      <c r="J38" s="21">
        <f t="shared" si="3"/>
        <v>0.46700000000000003</v>
      </c>
      <c r="K38" s="21"/>
      <c r="L38">
        <v>0.79</v>
      </c>
      <c r="N38" s="21">
        <v>6.1712665445189899E-2</v>
      </c>
      <c r="P38" s="21">
        <f>N38*C23</f>
        <v>121.08011074996533</v>
      </c>
      <c r="Q38" s="21">
        <f>(N38*D23)</f>
        <v>142.3248346829692</v>
      </c>
      <c r="R38" s="21"/>
      <c r="S38" s="21">
        <f>(F38*J38*L38*N38*C23)</f>
        <v>49.137093784883184</v>
      </c>
      <c r="T38">
        <f>(S38/C23)*100</f>
        <v>2.5044419028963301</v>
      </c>
      <c r="U38" s="21">
        <f>(F38*J38*L38*N38*D23)</f>
        <v>57.758691385546619</v>
      </c>
      <c r="W38" s="21">
        <f t="shared" si="4"/>
        <v>166.29184378488318</v>
      </c>
    </row>
    <row r="39" spans="3:23">
      <c r="F39">
        <v>0.9</v>
      </c>
      <c r="I39" s="42"/>
      <c r="J39" s="21">
        <f t="shared" si="3"/>
        <v>0.39899999999999997</v>
      </c>
      <c r="K39" s="21"/>
      <c r="L39">
        <v>0.56999999999999995</v>
      </c>
      <c r="N39" s="21">
        <v>0.10287126482934227</v>
      </c>
      <c r="P39" s="21">
        <f>N39*C23</f>
        <v>201.83319013482367</v>
      </c>
      <c r="Q39" s="21">
        <f>(N39*D23)</f>
        <v>237.24685451267061</v>
      </c>
      <c r="R39" s="21"/>
      <c r="S39" s="21">
        <f>(F39*J39*L39*N39*C23)</f>
        <v>41.312630189126644</v>
      </c>
      <c r="T39">
        <f>(S39/C23)*100</f>
        <v>2.1056410584123575</v>
      </c>
      <c r="U39" s="21">
        <f>(F39*J39*L39*N39*D23)</f>
        <v>48.561346909634999</v>
      </c>
      <c r="W39" s="21">
        <f t="shared" si="4"/>
        <v>158.46738018912663</v>
      </c>
    </row>
    <row r="40" spans="3:23">
      <c r="F40" s="27">
        <v>1</v>
      </c>
      <c r="G40" s="27"/>
      <c r="I40" s="42"/>
      <c r="J40" s="21">
        <f t="shared" si="3"/>
        <v>0.51400000000000001</v>
      </c>
      <c r="K40" s="21"/>
      <c r="L40" s="21">
        <v>0.6</v>
      </c>
      <c r="M40" s="21"/>
      <c r="N40" s="21">
        <v>0.1839097187171459</v>
      </c>
      <c r="P40" s="21">
        <f>N40*C23</f>
        <v>360.83045432617314</v>
      </c>
      <c r="Q40" s="21">
        <f>(N40*D23)</f>
        <v>424.14178879141775</v>
      </c>
      <c r="R40" s="21"/>
      <c r="S40" s="21">
        <f>(F40*J40*L40*N40*C23)</f>
        <v>111.28011211419179</v>
      </c>
      <c r="T40">
        <f>(S40/C23)*100</f>
        <v>5.6717757252367793</v>
      </c>
      <c r="U40" s="21">
        <f>(F40*J40*L40*N40*D23)</f>
        <v>130.80532766327323</v>
      </c>
      <c r="W40" s="21">
        <f t="shared" si="4"/>
        <v>228.43486211419179</v>
      </c>
    </row>
    <row r="41" spans="3:23">
      <c r="F41">
        <v>0.9</v>
      </c>
      <c r="I41" s="42"/>
      <c r="J41" s="21">
        <f t="shared" si="3"/>
        <v>0.439</v>
      </c>
      <c r="K41" s="21"/>
      <c r="L41">
        <v>0.74</v>
      </c>
      <c r="N41" s="21">
        <v>9.2826710019603464E-2</v>
      </c>
      <c r="P41" s="21">
        <f>N41*C23</f>
        <v>182.12579619836444</v>
      </c>
      <c r="Q41" s="21">
        <f>(N41*D23)</f>
        <v>214.08159998271049</v>
      </c>
      <c r="R41" s="21"/>
      <c r="S41" s="21">
        <f>(F41*J41*L41*N41*C23)</f>
        <v>53.248847537700613</v>
      </c>
      <c r="T41">
        <f>(S41/C23)*100</f>
        <v>2.7140116515271546</v>
      </c>
      <c r="U41" s="21">
        <f>(F41*J41*L41*N41*D23)</f>
        <v>62.591893713345002</v>
      </c>
      <c r="W41" s="21">
        <f t="shared" si="4"/>
        <v>170.40359753770059</v>
      </c>
    </row>
    <row r="42" spans="3:23">
      <c r="F42">
        <v>0.9</v>
      </c>
      <c r="J42" s="21">
        <f t="shared" si="3"/>
        <v>0.42799999999999999</v>
      </c>
      <c r="K42" s="21"/>
      <c r="L42">
        <v>0.76</v>
      </c>
      <c r="N42" s="21">
        <v>6.8912002776524761E-2</v>
      </c>
      <c r="P42" s="21">
        <f>N42*C23</f>
        <v>135.20519439553533</v>
      </c>
      <c r="Q42" s="21">
        <f>(N42*D23)</f>
        <v>158.92830640336024</v>
      </c>
      <c r="R42" s="21"/>
      <c r="S42" s="21">
        <f>(F42*J42*L42*N42*C23)</f>
        <v>39.581591069681764</v>
      </c>
      <c r="T42">
        <f>(S42/C23)*100</f>
        <v>2.0174126636833178</v>
      </c>
      <c r="U42" s="21">
        <f>(F42*J42*L42*N42*D23)</f>
        <v>46.526579556196516</v>
      </c>
      <c r="W42" s="21">
        <f t="shared" si="4"/>
        <v>156.73634106968177</v>
      </c>
    </row>
    <row r="43" spans="3:23">
      <c r="F43">
        <v>0.6</v>
      </c>
      <c r="J43" s="21">
        <f t="shared" si="3"/>
        <v>0.41700000000000004</v>
      </c>
      <c r="K43" s="21"/>
      <c r="L43">
        <v>0.52</v>
      </c>
      <c r="N43" s="21">
        <v>6.6361928912677226E-2</v>
      </c>
      <c r="P43" s="21">
        <f>N43*C23</f>
        <v>130.20195521233268</v>
      </c>
      <c r="Q43" s="21">
        <f>(N43*D23)</f>
        <v>153.04719855486186</v>
      </c>
      <c r="R43" s="21"/>
      <c r="S43" s="21">
        <f>(F43*J43*L43*N43*C23)</f>
        <v>16.939795180945332</v>
      </c>
      <c r="T43">
        <f>(S43/C23)*100</f>
        <v>0.86339523992549594</v>
      </c>
      <c r="U43" s="21">
        <f>(F43*J43*L43*N43*D23)</f>
        <v>19.912052720781748</v>
      </c>
      <c r="W43" s="21">
        <f t="shared" si="4"/>
        <v>134.09454518094532</v>
      </c>
    </row>
    <row r="44" spans="3:23">
      <c r="F44">
        <v>0.6</v>
      </c>
      <c r="J44" s="21">
        <f t="shared" si="3"/>
        <v>0.40600000000000003</v>
      </c>
      <c r="K44" s="21"/>
      <c r="L44">
        <v>0.55000000000000004</v>
      </c>
      <c r="N44" s="21">
        <v>6.6475431776985935E-2</v>
      </c>
      <c r="P44" s="21">
        <f>N44*C23</f>
        <v>130.42464757672491</v>
      </c>
      <c r="Q44" s="21">
        <f>(N44*D23)</f>
        <v>153.30896453567382</v>
      </c>
      <c r="R44" s="21"/>
      <c r="S44" s="21">
        <f>(F44*J44*L44*N44*C23)</f>
        <v>17.474294282329602</v>
      </c>
      <c r="T44">
        <f>(S44/C23)*100</f>
        <v>0.89063783494805737</v>
      </c>
      <c r="U44" s="21">
        <f>(F44*J44*L44*N44*D23)</f>
        <v>20.540335068489579</v>
      </c>
      <c r="W44" s="21">
        <f t="shared" si="4"/>
        <v>134.6290442823296</v>
      </c>
    </row>
    <row r="45" spans="3:23">
      <c r="F45">
        <v>0.5</v>
      </c>
      <c r="J45" s="21">
        <f t="shared" si="3"/>
        <v>0.39500000000000002</v>
      </c>
      <c r="K45" s="21"/>
      <c r="L45">
        <v>0.46</v>
      </c>
      <c r="N45" s="21">
        <v>5.7513517778311832E-2</v>
      </c>
      <c r="P45" s="21">
        <f>N45*C23</f>
        <v>112.84139247563282</v>
      </c>
      <c r="Q45" s="21">
        <f>(N45*D23)</f>
        <v>132.64055037623166</v>
      </c>
      <c r="R45" s="21"/>
      <c r="S45" s="21">
        <f>(F45*J45*L45*N45*C23)</f>
        <v>10.251640506411242</v>
      </c>
      <c r="T45">
        <f>(S45/C23)*100</f>
        <v>0.52251030901596307</v>
      </c>
      <c r="U45" s="21">
        <f>(F45*J45*L45*N45*D23)</f>
        <v>12.050394001680647</v>
      </c>
      <c r="W45" s="21">
        <f t="shared" si="4"/>
        <v>127.40639050641124</v>
      </c>
    </row>
    <row r="46" spans="3:23">
      <c r="F46">
        <v>0.8</v>
      </c>
      <c r="J46" s="21">
        <f t="shared" si="3"/>
        <v>0.38400000000000001</v>
      </c>
      <c r="K46" s="21"/>
      <c r="L46">
        <v>0.51</v>
      </c>
      <c r="N46" s="21">
        <v>6.1124362002542329E-2</v>
      </c>
      <c r="P46" s="21">
        <f>N46*C23</f>
        <v>119.92586071917354</v>
      </c>
      <c r="Q46" s="21">
        <f>(N46*D23)</f>
        <v>140.96805986836324</v>
      </c>
      <c r="R46" s="21"/>
      <c r="S46" s="21">
        <f>(F46*J46*L46*N46*C23)</f>
        <v>18.789024450594358</v>
      </c>
      <c r="T46">
        <f>(S46/C23)*100</f>
        <v>0.9576476043662312</v>
      </c>
      <c r="U46" s="21">
        <f>(F46*J46*L46*N46*D23)</f>
        <v>22.085747875696207</v>
      </c>
      <c r="W46" s="21">
        <f t="shared" si="4"/>
        <v>135.94377445059436</v>
      </c>
    </row>
    <row r="47" spans="3:23">
      <c r="F47" s="28">
        <f>SUM(F36:F46)</f>
        <v>9.3000000000000007</v>
      </c>
      <c r="G47" s="28"/>
      <c r="H47" s="28"/>
      <c r="I47" s="28"/>
      <c r="J47" s="28">
        <f t="shared" ref="J47:N47" si="5">SUM(J36:J46)</f>
        <v>4.854000000000001</v>
      </c>
      <c r="K47" s="28"/>
      <c r="L47" s="29">
        <f t="shared" si="5"/>
        <v>6.75</v>
      </c>
      <c r="M47" s="29"/>
      <c r="N47" s="28">
        <f t="shared" si="5"/>
        <v>0.99999999999999978</v>
      </c>
      <c r="P47" s="28">
        <f>SUM(P36:P46)</f>
        <v>1961.9977499999998</v>
      </c>
      <c r="Q47" s="28">
        <f>SUM(Q36:Q46)</f>
        <v>2306.2499999999995</v>
      </c>
      <c r="R47" s="28"/>
      <c r="S47" s="28">
        <f>SUM(S36:S46)</f>
        <v>500.47982927596013</v>
      </c>
      <c r="U47" s="28">
        <f>SUM(U36:U46)</f>
        <v>588.29405195173285</v>
      </c>
      <c r="W47" s="28">
        <f>SUM(W36:W46)</f>
        <v>1789.1820792759599</v>
      </c>
    </row>
    <row r="48" spans="3:23">
      <c r="F48" s="28">
        <f>AVERAGE(F36:F46)</f>
        <v>0.84545454545454557</v>
      </c>
      <c r="G48" s="28"/>
      <c r="H48" s="28"/>
      <c r="I48" s="28"/>
      <c r="J48" s="28">
        <f t="shared" ref="J48:N48" si="6">AVERAGE(J36:J46)</f>
        <v>0.44127272727272737</v>
      </c>
      <c r="K48" s="28"/>
      <c r="L48" s="28">
        <f t="shared" si="6"/>
        <v>0.61363636363636365</v>
      </c>
      <c r="M48" s="28"/>
      <c r="N48" s="28">
        <f t="shared" si="6"/>
        <v>9.0909090909090884E-2</v>
      </c>
      <c r="P48" s="28">
        <f>AVERAGE(P36:P46)</f>
        <v>178.36343181818179</v>
      </c>
      <c r="Q48" s="28">
        <f>AVERAGE(Q36:Q46)</f>
        <v>209.65909090909088</v>
      </c>
      <c r="R48" s="28"/>
      <c r="S48" s="28">
        <v>45.498166297814556</v>
      </c>
      <c r="U48" s="28">
        <f>AVERAGE(U36:U46)</f>
        <v>53.481277450157535</v>
      </c>
      <c r="W48" s="28">
        <f>AVERAGE(W36:W46)</f>
        <v>162.65291629781453</v>
      </c>
    </row>
  </sheetData>
  <mergeCells count="11">
    <mergeCell ref="B2:C2"/>
    <mergeCell ref="B3:C3"/>
    <mergeCell ref="B6:C6"/>
    <mergeCell ref="A8:A9"/>
    <mergeCell ref="B8:B9"/>
    <mergeCell ref="F8:R8"/>
    <mergeCell ref="S8:S9"/>
    <mergeCell ref="B4:C4"/>
    <mergeCell ref="C8:C9"/>
    <mergeCell ref="D8:D9"/>
    <mergeCell ref="E8:E9"/>
  </mergeCells>
  <pageMargins left="0.7" right="0.7" top="0.75" bottom="0.75" header="0.3" footer="0.3"/>
  <pageSetup scale="4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20" baseType="lpstr">
      <vt:lpstr>Present Allocation Method_SO </vt:lpstr>
      <vt:lpstr>load_allocation_23042012</vt:lpstr>
      <vt:lpstr>load_allocation_yedc&amp;jedc</vt:lpstr>
      <vt:lpstr>load_allocation_final</vt:lpstr>
      <vt:lpstr>Sheet1</vt:lpstr>
      <vt:lpstr>Sheet 2</vt:lpstr>
      <vt:lpstr>Chart2</vt:lpstr>
      <vt:lpstr>load_allocation_23042012!All_Based_Metering</vt:lpstr>
      <vt:lpstr>load_allocation_final!All_Based_Metering</vt:lpstr>
      <vt:lpstr>'load_allocation_yedc&amp;jedc'!All_Based_Metering</vt:lpstr>
      <vt:lpstr>All_Based_Metering</vt:lpstr>
      <vt:lpstr>load_allocation_23042012!All_Based_NtwkExpsn</vt:lpstr>
      <vt:lpstr>load_allocation_final!All_Based_NtwkExpsn</vt:lpstr>
      <vt:lpstr>'load_allocation_yedc&amp;jedc'!All_Based_NtwkExpsn</vt:lpstr>
      <vt:lpstr>All_Based_NtwkExpsn</vt:lpstr>
      <vt:lpstr>load_allocation_23042012!All_LRF</vt:lpstr>
      <vt:lpstr>load_allocation_final!All_LRF</vt:lpstr>
      <vt:lpstr>'load_allocation_yedc&amp;jedc'!All_LRF</vt:lpstr>
      <vt:lpstr>All_LRF</vt:lpstr>
      <vt:lpstr>Based_On_NtwkExpsn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llawal</dc:creator>
  <cp:lastModifiedBy>llawal</cp:lastModifiedBy>
  <cp:lastPrinted>2012-05-30T18:07:59Z</cp:lastPrinted>
  <dcterms:created xsi:type="dcterms:W3CDTF">2012-03-29T17:54:31Z</dcterms:created>
  <dcterms:modified xsi:type="dcterms:W3CDTF">2012-06-01T17:26:57Z</dcterms:modified>
</cp:coreProperties>
</file>